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JULHO\"/>
    </mc:Choice>
  </mc:AlternateContent>
  <bookViews>
    <workbookView xWindow="0" yWindow="0" windowWidth="28800" windowHeight="12435"/>
  </bookViews>
  <sheets>
    <sheet name="BTA 7º PER. JULHO 2026" sheetId="1" r:id="rId1"/>
  </sheets>
  <definedNames>
    <definedName name="_xlnm.Print_Area" localSheetId="0">'BTA 7º PER. JULHO 2026'!$A$1:$L$82</definedName>
    <definedName name="Print_Titles_0" localSheetId="0">'BTA 7º PER. JULHO 2026'!$1:$6</definedName>
    <definedName name="Print_Titles_0_0" localSheetId="0">'BTA 7º PER. JULHO 2026'!$1:$6</definedName>
    <definedName name="Print_Titles_0_0_0" localSheetId="0">'BTA 7º PER. JULHO 2026'!$1:$6</definedName>
    <definedName name="Print_Titles_0_0_0_0" localSheetId="0">'BTA 7º PER. JULHO 2026'!$1:$6</definedName>
    <definedName name="Print_Titles_0_0_0_0_0" localSheetId="0">'BTA 7º PER. JULHO 2026'!$1:$6</definedName>
    <definedName name="Print_Titles_0_0_0_0_0_0" localSheetId="0">'BTA 7º PER. JULHO 2026'!$1:$6</definedName>
    <definedName name="Print_Titles_0_0_0_0_0_0_0" localSheetId="0">'BTA 7º PER. JULHO 2026'!$1:$6</definedName>
    <definedName name="Print_Titles_0_0_0_0_0_0_0_0" localSheetId="0">'BTA 7º PER. JULHO 2026'!$1:$6</definedName>
    <definedName name="Print_Titles_0_0_0_0_0_0_0_0_0" localSheetId="0">'BTA 7º PER. JULHO 2026'!$1:$6</definedName>
    <definedName name="Print_Titles_0_0_0_0_0_0_0_0_0_0" localSheetId="0">'BTA 7º PER. JULHO 2026'!$1:$6</definedName>
    <definedName name="Print_Titles_0_0_0_0_0_0_0_0_0_0_0" localSheetId="0">'BTA 7º PER. JULHO 2026'!$1:$6</definedName>
    <definedName name="Print_Titles_0_0_0_0_0_0_0_0_0_0_0_0" localSheetId="0">'BTA 7º PER. JULHO 2026'!$1:$6</definedName>
    <definedName name="Print_Titles_0_0_0_0_0_0_0_0_0_0_0_0_0" localSheetId="0">'BTA 7º PER. JULHO 2026'!$1:$6</definedName>
    <definedName name="Print_Titles_0_0_0_0_0_0_0_0_0_0_0_0_0_0" localSheetId="0">'BTA 7º PER. JULHO 2026'!$1:$6</definedName>
    <definedName name="Print_Titles_0_0_0_0_0_0_0_0_0_0_0_0_0_0_0" localSheetId="0">'BTA 7º PER. JULHO 2026'!$1:$6</definedName>
    <definedName name="Print_Titles_0_0_0_0_0_0_0_0_0_0_0_0_0_0_0_0" localSheetId="0">'BTA 7º PER. JULHO 2026'!$1:$6</definedName>
    <definedName name="Print_Titles_0_0_0_0_0_0_0_0_0_0_0_0_0_0_0_0_0" localSheetId="0">'BTA 7º PER. JULHO 2026'!$1:$6</definedName>
    <definedName name="Print_Titles_0_0_0_0_0_0_0_0_0_0_0_0_0_0_0_0_0_0" localSheetId="0">'BTA 7º PER. JULHO 2026'!$1:$6</definedName>
    <definedName name="Print_Titles_0_0_0_0_0_0_0_0_0_0_0_0_0_0_0_0_0_0_0" localSheetId="0">'BTA 7º PER. JULHO 2026'!$1:$6</definedName>
    <definedName name="Print_Titles_0_0_0_0_0_0_0_0_0_0_0_0_0_0_0_0_0_0_0_0" localSheetId="0">'BTA 7º PER. JULHO 2026'!$1:$6</definedName>
    <definedName name="Print_Titles_0_0_0_0_0_0_0_0_0_0_0_0_0_0_0_0_0_0_0_0_0" localSheetId="0">'BTA 7º PER. JULHO 2026'!$1:$6</definedName>
    <definedName name="Print_Titles_0_0_0_0_0_0_0_0_0_0_0_0_0_0_0_0_0_0_0_0_0_0" localSheetId="0">'BTA 7º PER. JULHO 2026'!$1:$6</definedName>
    <definedName name="Print_Titles_0_0_0_0_0_0_0_0_0_0_0_0_0_0_0_0_0_0_0_0_0_0_0" localSheetId="0">'BTA 7º PER. JULHO 2026'!$1:$6</definedName>
    <definedName name="Print_Titles_0_0_0_0_0_0_0_0_0_0_0_0_0_0_0_0_0_0_0_0_0_0_0_0" localSheetId="0">'BTA 7º PER. JULHO 2026'!$1:$6</definedName>
    <definedName name="Print_Titles_0_0_0_0_0_0_0_0_0_0_0_0_0_0_0_0_0_0_0_0_0_0_0_0_0" localSheetId="0">'BTA 7º PER. JULHO 2026'!$1:$6</definedName>
    <definedName name="Print_Titles_0_0_0_0_0_0_0_0_0_0_0_0_0_0_0_0_0_0_0_0_0_0_0_0_0_0" localSheetId="0">'BTA 7º PER. JULHO 2026'!$1:$6</definedName>
    <definedName name="Print_Titles_0_0_0_0_0_0_0_0_0_0_0_0_0_0_0_0_0_0_0_0_0_0_0_0_0_0_0" localSheetId="0">'BTA 7º PER. JULHO 2026'!$1:$6</definedName>
    <definedName name="Print_Titles_0_0_0_0_0_0_0_0_0_0_0_0_0_0_0_0_0_0_0_0_0_0_0_0_0_0_0_0" localSheetId="0">'BTA 7º PER. JULHO 2026'!$1:$6</definedName>
    <definedName name="Print_Titles_0_0_0_0_0_0_0_0_0_0_0_0_0_0_0_0_0_0_0_0_0_0_0_0_0_0_0_0_0" localSheetId="0">'BTA 7º PER. JULHO 2026'!$1:$6</definedName>
    <definedName name="Print_Titles_0_0_0_0_0_0_0_0_0_0_0_0_0_0_0_0_0_0_0_0_0_0_0_0_0_0_0_0_0_0" localSheetId="0">'BTA 7º PER. JULHO 2026'!$1:$6</definedName>
    <definedName name="Print_Titles_0_0_0_0_0_0_0_0_0_0_0_0_0_0_0_0_0_0_0_0_0_0_0_0_0_0_0_0_0_0_0" localSheetId="0">'BTA 7º PER. JULHO 2026'!$1:$6</definedName>
    <definedName name="Print_Titles_0_0_0_0_0_0_0_0_0_0_0_0_0_0_0_0_0_0_0_0_0_0_0_0_0_0_0_0_0_0_0_0" localSheetId="0">'BTA 7º PER. JULHO 2026'!$1:$6</definedName>
    <definedName name="Print_Titles_0_0_0_0_0_0_0_0_0_0_0_0_0_0_0_0_0_0_0_0_0_0_0_0_0_0_0_0_0_0_0_0_0" localSheetId="0">'BTA 7º PER. JULHO 2026'!$1:$6</definedName>
    <definedName name="Print_Titles_0_0_0_0_0_0_0_0_0_0_0_0_0_0_0_0_0_0_0_0_0_0_0_0_0_0_0_0_0_0_0_0_0_0" localSheetId="0">'BTA 7º PER. JULHO 2026'!$1:$6</definedName>
    <definedName name="Print_Titles_0_0_0_0_0_0_0_0_0_0_0_0_0_0_0_0_0_0_0_0_0_0_0_0_0_0_0_0_0_0_0_0_0_0_0" localSheetId="0">'BTA 7º PER. JULHO 2026'!$1:$6</definedName>
    <definedName name="Print_Titles_0_0_0_0_0_0_0_0_0_0_0_0_0_0_0_0_0_0_0_0_0_0_0_0_0_0_0_0_0_0_0_0_0_0_0_0" localSheetId="0">'BTA 7º PER. JULHO 2026'!$1:$6</definedName>
    <definedName name="Print_Titles_0_0_0_0_0_0_0_0_0_0_0_0_0_0_0_0_0_0_0_0_0_0_0_0_0_0_0_0_0_0_0_0_0_0_0_0_0" localSheetId="0">'BTA 7º PER. JULHO 2026'!$1:$6</definedName>
    <definedName name="Print_Titles_0_0_0_0_0_0_0_0_0_0_0_0_0_0_0_0_0_0_0_0_0_0_0_0_0_0_0_0_0_0_0_0_0_0_0_0_0_0" localSheetId="0">'BTA 7º PER. JULHO 2026'!$1:$6</definedName>
    <definedName name="Print_Titles_0_0_0_0_0_0_0_0_0_0_0_0_0_0_0_0_0_0_0_0_0_0_0_0_0_0_0_0_0_0_0_0_0_0_0_0_0_0_0" localSheetId="0">'BTA 7º PER. JULHO 2026'!$1:$6</definedName>
    <definedName name="Print_Titles_0_0_0_0_0_0_0_0_0_0_0_0_0_0_0_0_0_0_0_0_0_0_0_0_0_0_0_0_0_0_0_0_0_0_0_0_0_0_0_0" localSheetId="0">'BTA 7º PER. JULHO 2026'!$1:$6</definedName>
    <definedName name="Print_Titles_0_0_0_0_0_0_0_0_0_0_0_0_0_0_0_0_0_0_0_0_0_0_0_0_0_0_0_0_0_0_0_0_0_0_0_0_0_0_0_0_0" localSheetId="0">'BTA 7º PER. JULHO 2026'!$1:$6</definedName>
    <definedName name="Print_Titles_0_0_0_0_0_0_0_0_0_0_0_0_0_0_0_0_0_0_0_0_0_0_0_0_0_0_0_0_0_0_0_0_0_0_0_0_0_0_0_0_0_0" localSheetId="0">'BTA 7º PER. JULHO 2026'!$1:$6</definedName>
    <definedName name="Print_Titles_0_0_0_0_0_0_0_0_0_0_0_0_0_0_0_0_0_0_0_0_0_0_0_0_0_0_0_0_0_0_0_0_0_0_0_0_0_0_0_0_0_0_0" localSheetId="0">'BTA 7º PER. JULHO 2026'!$1:$6</definedName>
    <definedName name="Print_Titles_0_0_0_0_0_0_0_0_0_0_0_0_0_0_0_0_0_0_0_0_0_0_0_0_0_0_0_0_0_0_0_0_0_0_0_0_0_0_0_0_0_0_0_0" localSheetId="0">'BTA 7º PER. JULHO 2026'!$1:$6</definedName>
    <definedName name="Print_Titles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_0_0_0_0" localSheetId="0">'BTA 7º PER. JULHO 2026'!$1:$6</definedName>
    <definedName name="Print_Titles_0_0_0_0_0_0_0_0_0_0_0_0_0_0_0_0_0_0_0_0_0_0_0_0_0_0_0_0_0_0_0_0_0_0_0_0_0_0_0_0_0_0_0_0_0_0_0_0_0_0_0_0_0_0_0_0_0_0_0_0_0_0_0_0_0_0_0_0_0_0_0_0_0_0_0_0_0_0_0_0_0_0_0" localSheetId="0">'BTA 7º PER. JULHO 2026'!$1:$6</definedName>
    <definedName name="_xlnm.Print_Titles" localSheetId="0">'BTA 7º PER. JULHO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<sst xmlns="http://schemas.openxmlformats.org/spreadsheetml/2006/main" count="140" uniqueCount="95">
  <si>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</si>
  <si>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</si>
  <si>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</si>
  <si>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</si>
  <si>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</si>
  <si>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</si>
  <si>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</si>
  <si>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</si>
  <si>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</si>
  <si>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</si>
  <si>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</si>
  <si>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</si>
  <si>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</si>
  <si>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</si>
  <si>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</si>
  <si>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</si>
  <si>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</si>
  <si>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</si>
  <si>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</si>
  <si>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</si>
  <si>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</si>
  <si>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</si>
  <si>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</si>
  <si>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</si>
  <si>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</si>
  <si>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</si>
  <si>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</si>
  <si>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</si>
  <si>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</si>
  <si>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</si>
  <si>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</si>
  <si>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</si>
  <si>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</si>
  <si>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</si>
  <si>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</si>
  <si>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</si>
  <si>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</si>
  <si>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</si>
  <si>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</si>
  <si>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</si>
  <si>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</si>
  <si>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</si>
  <si>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</si>
  <si>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</si>
  <si>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</si>
  <si>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</si>
  <si>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</si>
  <si>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</si>
  <si>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</si>
  <si>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</si>
  <si>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</si>
  <si>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</si>
  <si>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</si>
  <si>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</si>
  <si>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</si>
  <si>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</si>
  <si>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</si>
  <si>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</si>
  <si>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</si>
  <si>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</si>
  <si>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</si>
  <si>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</si>
  <si>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</si>
  <si>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</si>
  <si>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</si>
  <si>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</si>
  <si>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</si>
  <si>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</si>
  <si>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</si>
  <si>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</si>
  <si>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</si>
  <si>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</si>
  <si>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</si>
  <si>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</si>
  <si>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</si>
  <si>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</si>
  <si>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</si>
  <si>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</si>
  <si>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</si>
  <si>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</si>
  <si>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</si>
  <si>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</si>
  <si>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</si>
  <si>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</si>
  <si>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</si>
  <si>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</si>
  <si>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</si>
  <si>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</si>
  <si>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</si>
  <si>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</si>
  <si>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</si>
  <si>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</si>
  <si>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Período: 7º JUL/2026 – 31/07/2026</t>
  </si>
  <si>
    <t xml:space="preserve"> 04/08/2026</t>
  </si>
  <si>
    <t>PROCESSO SEI  22101.010390/2026.78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</si>
</sst>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8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64" fontId="3" fillId="0" borderId="0" xfId="1" applyBorder="1" applyProtection="1">
      <protection locked="0"/>
    </xf>
    <xf numFmtId="164" fontId="4" fillId="0" borderId="0" xfId="0" applyNumberFormat="1" applyFont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P31" sqref="P31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5" width="9.140625" style="3" customWidth="1"/>
    <col min="16" max="16" width="14.28515625" style="160" bestFit="1" customWidth="1"/>
    <col min="17" max="17" width="14.28515625" style="3" bestFit="1" customWidth="1"/>
    <col min="18" max="18" width="17.5703125" style="160" customWidth="1"/>
    <col min="19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67" t="s">
        <v>94</v>
      </c>
      <c r="K1" s="168"/>
      <c r="L1" s="168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68"/>
      <c r="K2" s="168"/>
      <c r="L2" s="168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68"/>
      <c r="K3" s="168"/>
      <c r="L3" s="168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</row>
    <row r="6" spans="1:12" ht="14.1" customHeight="1" thickTop="1" x14ac:dyDescent="0.25">
      <c r="A6" s="5" t="s">
        <v>92</v>
      </c>
      <c r="B6" s="6"/>
      <c r="C6" s="6"/>
      <c r="D6" s="6"/>
      <c r="I6" s="6"/>
      <c r="J6" s="170" t="s">
        <v>90</v>
      </c>
      <c r="K6" s="170"/>
      <c r="L6" s="131" t="s">
        <v>93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71" t="s">
        <v>7</v>
      </c>
      <c r="B9" s="171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10545906.390000001</v>
      </c>
      <c r="D10" s="14">
        <f>SUM(D11:D14)</f>
        <v>0</v>
      </c>
      <c r="E10" s="14">
        <f>SUM(E11:E14)</f>
        <v>10545906.390000001</v>
      </c>
      <c r="G10" s="15" t="s">
        <v>17</v>
      </c>
      <c r="H10" s="16"/>
      <c r="I10" s="15"/>
      <c r="J10" s="17">
        <f>SUM(J11:J12)</f>
        <v>3181180.42</v>
      </c>
      <c r="K10" s="17">
        <f>SUM(K11:K12)</f>
        <v>0</v>
      </c>
      <c r="L10" s="17">
        <f>SUM(L11:L12)</f>
        <v>3181180.42</v>
      </c>
    </row>
    <row r="11" spans="1:12" ht="14.1" customHeight="1" x14ac:dyDescent="0.25">
      <c r="A11" s="18"/>
      <c r="B11" s="19" t="s">
        <v>18</v>
      </c>
      <c r="C11" s="20">
        <v>8949735.6199999992</v>
      </c>
      <c r="D11" s="20">
        <v>0</v>
      </c>
      <c r="E11" s="21">
        <f t="shared" ref="E11:E14" si="0">C11-D11</f>
        <v>8949735.6199999992</v>
      </c>
      <c r="G11" s="22"/>
      <c r="H11" s="23" t="s">
        <v>19</v>
      </c>
      <c r="I11" s="24">
        <v>0.25</v>
      </c>
      <c r="J11" s="25">
        <f>ROUND(C10*I11,2)</f>
        <v>2636476.6</v>
      </c>
      <c r="K11" s="25">
        <f>ROUND(D10*0.25,2)</f>
        <v>0</v>
      </c>
      <c r="L11" s="25">
        <f t="shared" ref="L11:L26" si="1">J11-K11</f>
        <v>2636476.6</v>
      </c>
    </row>
    <row r="12" spans="1:12" ht="14.1" customHeight="1" x14ac:dyDescent="0.25">
      <c r="A12" s="18"/>
      <c r="B12" s="26" t="s">
        <v>20</v>
      </c>
      <c r="C12" s="27">
        <v>1455893.3</v>
      </c>
      <c r="D12" s="27">
        <v>0</v>
      </c>
      <c r="E12" s="28">
        <f t="shared" si="0"/>
        <v>1455893.3</v>
      </c>
      <c r="F12" s="29"/>
      <c r="G12" s="22"/>
      <c r="H12" s="30" t="s">
        <v>21</v>
      </c>
      <c r="I12" s="31">
        <v>0.5</v>
      </c>
      <c r="J12" s="32">
        <f>ROUND(C15*I12,2)</f>
        <v>544703.81999999995</v>
      </c>
      <c r="K12" s="32">
        <f>ROUND(D15*0.5,2)</f>
        <v>0</v>
      </c>
      <c r="L12" s="32">
        <f t="shared" si="1"/>
        <v>544703.81999999995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1694991.75</v>
      </c>
      <c r="K13" s="36">
        <f>SUM(K14:K16)</f>
        <v>0</v>
      </c>
      <c r="L13" s="36">
        <f t="shared" si="1"/>
        <v>1694991.75</v>
      </c>
    </row>
    <row r="14" spans="1:12" ht="14.1" customHeight="1" thickBot="1" x14ac:dyDescent="0.3">
      <c r="A14" s="18"/>
      <c r="B14" s="37" t="s">
        <v>24</v>
      </c>
      <c r="C14" s="38">
        <v>140277.47</v>
      </c>
      <c r="D14" s="39">
        <v>0</v>
      </c>
      <c r="E14" s="40">
        <f t="shared" si="0"/>
        <v>140277.47</v>
      </c>
      <c r="G14" s="22"/>
      <c r="H14" s="22" t="s">
        <v>25</v>
      </c>
      <c r="I14" s="41">
        <v>0.2</v>
      </c>
      <c r="J14" s="42">
        <f>ROUND((C10-J11)*I14,2)</f>
        <v>1581885.96</v>
      </c>
      <c r="K14" s="42">
        <f>ROUND((D10-K11)*0.2,2)</f>
        <v>0</v>
      </c>
      <c r="L14" s="42">
        <f t="shared" si="1"/>
        <v>1581885.96</v>
      </c>
    </row>
    <row r="15" spans="1:12" ht="14.1" customHeight="1" thickBot="1" x14ac:dyDescent="0.3">
      <c r="A15" s="12" t="s">
        <v>26</v>
      </c>
      <c r="B15" s="43"/>
      <c r="C15" s="14">
        <f>SUM(C16:C30)</f>
        <v>1089407.6399999997</v>
      </c>
      <c r="D15" s="14">
        <f>SUM(D16:D30)</f>
        <v>0</v>
      </c>
      <c r="E15" s="14">
        <f>SUM(E16:E30)</f>
        <v>1089407.6399999997</v>
      </c>
      <c r="G15" s="22"/>
      <c r="H15" s="30" t="s">
        <v>27</v>
      </c>
      <c r="I15" s="31">
        <v>0.2</v>
      </c>
      <c r="J15" s="32">
        <f>ROUND((C15-J12)*I15,2)</f>
        <v>108940.76</v>
      </c>
      <c r="K15" s="32">
        <f>ROUND((D15/2)*0.2,2)</f>
        <v>0</v>
      </c>
      <c r="L15" s="32">
        <f t="shared" si="1"/>
        <v>108940.76</v>
      </c>
    </row>
    <row r="16" spans="1:12" ht="14.1" customHeight="1" x14ac:dyDescent="0.25">
      <c r="A16" s="18"/>
      <c r="B16" s="45" t="s">
        <v>28</v>
      </c>
      <c r="C16" s="46">
        <v>2704.03</v>
      </c>
      <c r="D16" s="46">
        <v>0</v>
      </c>
      <c r="E16" s="21">
        <f t="shared" ref="E16:E32" si="2">C16-D16</f>
        <v>2704.03</v>
      </c>
      <c r="G16" s="22"/>
      <c r="H16" s="22" t="s">
        <v>29</v>
      </c>
      <c r="I16" s="41">
        <v>0.2</v>
      </c>
      <c r="J16" s="42">
        <f>ROUND(C32*I16,2)</f>
        <v>4165.03</v>
      </c>
      <c r="K16" s="42">
        <f>ROUND(D32*0.2,2)</f>
        <v>0</v>
      </c>
      <c r="L16" s="42">
        <f t="shared" si="1"/>
        <v>4165.03</v>
      </c>
    </row>
    <row r="17" spans="1:1020" ht="14.1" customHeight="1" thickBot="1" x14ac:dyDescent="0.3">
      <c r="A17" s="18"/>
      <c r="B17" s="26" t="s">
        <v>30</v>
      </c>
      <c r="C17" s="27">
        <v>42.98</v>
      </c>
      <c r="D17" s="27">
        <v>0</v>
      </c>
      <c r="E17" s="28">
        <f t="shared" si="2"/>
        <v>42.98</v>
      </c>
      <c r="G17" s="33" t="s">
        <v>31</v>
      </c>
      <c r="H17" s="34"/>
      <c r="I17" s="35"/>
      <c r="J17" s="36">
        <f>SUM(J18:J21)</f>
        <v>6867621.8400000008</v>
      </c>
      <c r="K17" s="36">
        <f>SUM(K18:K21)</f>
        <v>0</v>
      </c>
      <c r="L17" s="36">
        <f t="shared" si="1"/>
        <v>6867621.8400000008</v>
      </c>
    </row>
    <row r="18" spans="1:1020" ht="14.1" customHeight="1" x14ac:dyDescent="0.25">
      <c r="A18" s="18"/>
      <c r="B18" s="26" t="s">
        <v>32</v>
      </c>
      <c r="C18" s="27">
        <v>1023918.77</v>
      </c>
      <c r="D18" s="27">
        <v>0</v>
      </c>
      <c r="E18" s="28">
        <f t="shared" si="2"/>
        <v>1023918.77</v>
      </c>
      <c r="G18" s="22"/>
      <c r="H18" s="22" t="s">
        <v>33</v>
      </c>
      <c r="I18" s="41">
        <v>0.05</v>
      </c>
      <c r="J18" s="42">
        <f>ROUND((C10-J11)*I18,2)</f>
        <v>395471.49</v>
      </c>
      <c r="K18" s="42">
        <f>ROUND((D10*0.75)*0.05,2)</f>
        <v>0</v>
      </c>
      <c r="L18" s="42">
        <f t="shared" si="1"/>
        <v>395471.49</v>
      </c>
    </row>
    <row r="19" spans="1:1020" ht="14.1" customHeight="1" x14ac:dyDescent="0.25">
      <c r="A19" s="18"/>
      <c r="B19" s="26" t="s">
        <v>34</v>
      </c>
      <c r="C19" s="27">
        <v>3482.08</v>
      </c>
      <c r="D19" s="27">
        <v>0</v>
      </c>
      <c r="E19" s="28">
        <f t="shared" si="2"/>
        <v>3482.08</v>
      </c>
      <c r="G19" s="22"/>
      <c r="H19" s="30" t="s">
        <v>35</v>
      </c>
      <c r="I19" s="31">
        <v>0.25</v>
      </c>
      <c r="J19" s="32">
        <f>ROUND(C31*I19,2)</f>
        <v>6443873.9000000004</v>
      </c>
      <c r="K19" s="32">
        <f>ROUND(D31*0.25,2)</f>
        <v>0</v>
      </c>
      <c r="L19" s="32">
        <f t="shared" si="1"/>
        <v>6443873.9000000004</v>
      </c>
    </row>
    <row r="20" spans="1:1020" ht="14.1" customHeight="1" x14ac:dyDescent="0.25">
      <c r="A20" s="18"/>
      <c r="B20" s="26" t="s">
        <v>36</v>
      </c>
      <c r="C20" s="27">
        <v>2205.2399999999998</v>
      </c>
      <c r="D20" s="27">
        <v>0</v>
      </c>
      <c r="E20" s="28">
        <f t="shared" si="2"/>
        <v>2205.2399999999998</v>
      </c>
      <c r="G20" s="22"/>
      <c r="H20" s="30" t="s">
        <v>37</v>
      </c>
      <c r="I20" s="31">
        <v>0.05</v>
      </c>
      <c r="J20" s="32">
        <f>ROUND((C15-J12)*I20,2)</f>
        <v>27235.19</v>
      </c>
      <c r="K20" s="32">
        <f>ROUND((D15/2)*0.05,2)</f>
        <v>0</v>
      </c>
      <c r="L20" s="32">
        <f t="shared" si="1"/>
        <v>27235.19</v>
      </c>
    </row>
    <row r="21" spans="1:1020" ht="14.1" customHeight="1" x14ac:dyDescent="0.25">
      <c r="A21" s="18"/>
      <c r="B21" s="26" t="s">
        <v>38</v>
      </c>
      <c r="C21" s="27">
        <v>5726.44</v>
      </c>
      <c r="D21" s="27">
        <v>0</v>
      </c>
      <c r="E21" s="28">
        <f t="shared" si="2"/>
        <v>5726.44</v>
      </c>
      <c r="G21" s="22"/>
      <c r="H21" s="22" t="s">
        <v>39</v>
      </c>
      <c r="I21" s="41">
        <v>0.05</v>
      </c>
      <c r="J21" s="42">
        <f>ROUND(C32*I21,2)</f>
        <v>1041.26</v>
      </c>
      <c r="K21" s="42">
        <f>ROUND(D32*0.05,2)</f>
        <v>0</v>
      </c>
      <c r="L21" s="42">
        <f t="shared" si="1"/>
        <v>1041.26</v>
      </c>
    </row>
    <row r="22" spans="1:1020" ht="14.1" customHeight="1" thickBot="1" x14ac:dyDescent="0.3">
      <c r="A22" s="18"/>
      <c r="B22" s="26" t="s">
        <v>40</v>
      </c>
      <c r="C22" s="27">
        <v>1658.36</v>
      </c>
      <c r="D22" s="27">
        <v>0</v>
      </c>
      <c r="E22" s="28">
        <f t="shared" si="2"/>
        <v>1658.36</v>
      </c>
      <c r="G22" s="33" t="s">
        <v>41</v>
      </c>
      <c r="H22" s="34"/>
      <c r="I22" s="47"/>
      <c r="J22" s="36">
        <f>SUM(J23:J26)</f>
        <v>4110054.52</v>
      </c>
      <c r="K22" s="36">
        <f>SUM(K23:K26)</f>
        <v>0</v>
      </c>
      <c r="L22" s="36">
        <f t="shared" si="1"/>
        <v>4110054.52</v>
      </c>
    </row>
    <row r="23" spans="1:1020" ht="14.1" customHeight="1" x14ac:dyDescent="0.25">
      <c r="A23" s="18"/>
      <c r="B23" s="26" t="s">
        <v>42</v>
      </c>
      <c r="C23" s="27">
        <v>7639.12</v>
      </c>
      <c r="D23" s="27">
        <v>0</v>
      </c>
      <c r="E23" s="28">
        <f t="shared" si="2"/>
        <v>7639.12</v>
      </c>
      <c r="G23" s="22"/>
      <c r="H23" s="22" t="s">
        <v>43</v>
      </c>
      <c r="I23" s="41">
        <v>0.12</v>
      </c>
      <c r="J23" s="42">
        <f>ROUND((C10-J11)*I23,2)</f>
        <v>949131.57</v>
      </c>
      <c r="K23" s="42">
        <f>ROUND(D10*0.75*I23,2)</f>
        <v>0</v>
      </c>
      <c r="L23" s="42">
        <f t="shared" si="1"/>
        <v>949131.57</v>
      </c>
    </row>
    <row r="24" spans="1:1020" ht="14.1" customHeight="1" x14ac:dyDescent="0.25">
      <c r="A24" s="18"/>
      <c r="B24" s="26" t="s">
        <v>44</v>
      </c>
      <c r="C24" s="27">
        <v>5780.55</v>
      </c>
      <c r="D24" s="27">
        <v>0</v>
      </c>
      <c r="E24" s="28">
        <f t="shared" si="2"/>
        <v>5780.55</v>
      </c>
      <c r="G24" s="22"/>
      <c r="H24" s="30" t="s">
        <v>45</v>
      </c>
      <c r="I24" s="31">
        <v>0.12</v>
      </c>
      <c r="J24" s="32">
        <f>ROUND(C31*I24,2)</f>
        <v>3093059.47</v>
      </c>
      <c r="K24" s="32">
        <f>ROUND(D31*I24,2)</f>
        <v>0</v>
      </c>
      <c r="L24" s="32">
        <f t="shared" si="1"/>
        <v>3093059.47</v>
      </c>
    </row>
    <row r="25" spans="1:1020" ht="14.1" customHeight="1" x14ac:dyDescent="0.25">
      <c r="A25" s="18"/>
      <c r="B25" s="26" t="s">
        <v>46</v>
      </c>
      <c r="C25" s="27">
        <v>3998.49</v>
      </c>
      <c r="D25" s="27">
        <v>0</v>
      </c>
      <c r="E25" s="28">
        <f t="shared" si="2"/>
        <v>3998.49</v>
      </c>
      <c r="G25" s="22"/>
      <c r="H25" s="30" t="s">
        <v>47</v>
      </c>
      <c r="I25" s="31">
        <v>0.12</v>
      </c>
      <c r="J25" s="32">
        <f>ROUND((C15-J12)*I25,2)</f>
        <v>65364.46</v>
      </c>
      <c r="K25" s="32">
        <f>ROUND((D15/2)*I25,2)</f>
        <v>0</v>
      </c>
      <c r="L25" s="32">
        <f t="shared" si="1"/>
        <v>65364.46</v>
      </c>
    </row>
    <row r="26" spans="1:1020" ht="14.1" customHeight="1" x14ac:dyDescent="0.25">
      <c r="A26" s="18"/>
      <c r="B26" s="26" t="s">
        <v>48</v>
      </c>
      <c r="C26" s="27">
        <v>3528.53</v>
      </c>
      <c r="D26" s="27">
        <v>0</v>
      </c>
      <c r="E26" s="28">
        <f t="shared" si="2"/>
        <v>3528.53</v>
      </c>
      <c r="G26" s="48"/>
      <c r="H26" s="48" t="s">
        <v>49</v>
      </c>
      <c r="I26" s="49">
        <v>0.12</v>
      </c>
      <c r="J26" s="50">
        <f>ROUND(C32*I26,2)</f>
        <v>2499.02</v>
      </c>
      <c r="K26" s="42">
        <f>ROUND(D32*I26,2)</f>
        <v>0</v>
      </c>
      <c r="L26" s="42">
        <f t="shared" si="1"/>
        <v>2499.02</v>
      </c>
      <c r="Q26" s="160"/>
    </row>
    <row r="27" spans="1:1020" ht="14.1" customHeight="1" thickBot="1" x14ac:dyDescent="0.3">
      <c r="A27" s="18"/>
      <c r="B27" s="26" t="s">
        <v>50</v>
      </c>
      <c r="C27" s="27">
        <v>24723.21</v>
      </c>
      <c r="D27" s="27">
        <v>0</v>
      </c>
      <c r="E27" s="28">
        <f t="shared" si="2"/>
        <v>24723.21</v>
      </c>
      <c r="G27" s="33" t="s">
        <v>51</v>
      </c>
      <c r="H27" s="34"/>
      <c r="I27" s="34"/>
      <c r="J27" s="36">
        <f>J28+J32+J34</f>
        <v>21663109.200000003</v>
      </c>
      <c r="K27" s="36">
        <f>K28+K32+K34</f>
        <v>205.98</v>
      </c>
      <c r="L27" s="36">
        <f>L28+L32+L34</f>
        <v>21662903.220000003</v>
      </c>
      <c r="Q27" s="160"/>
    </row>
    <row r="28" spans="1:1020" ht="14.1" customHeight="1" x14ac:dyDescent="0.25">
      <c r="A28" s="18"/>
      <c r="B28" s="26" t="s">
        <v>52</v>
      </c>
      <c r="C28" s="27">
        <v>2561.9499999999998</v>
      </c>
      <c r="D28" s="27">
        <v>0</v>
      </c>
      <c r="E28" s="28">
        <f t="shared" si="2"/>
        <v>2561.9499999999998</v>
      </c>
      <c r="G28" s="51" t="s">
        <v>53</v>
      </c>
      <c r="H28" s="52"/>
      <c r="I28" s="53"/>
      <c r="J28" s="54">
        <f>SUM(J29:J31)</f>
        <v>5339224</v>
      </c>
      <c r="K28" s="54">
        <f>SUM(K29:K31)</f>
        <v>0</v>
      </c>
      <c r="L28" s="54">
        <f>SUM(L29:L31)</f>
        <v>5339224</v>
      </c>
      <c r="Q28" s="160"/>
    </row>
    <row r="29" spans="1:1020" ht="14.1" customHeight="1" x14ac:dyDescent="0.25">
      <c r="A29" s="18"/>
      <c r="B29" s="26" t="s">
        <v>54</v>
      </c>
      <c r="C29" s="27">
        <v>1437.89</v>
      </c>
      <c r="D29" s="27">
        <v>0</v>
      </c>
      <c r="E29" s="28">
        <f t="shared" si="2"/>
        <v>1437.89</v>
      </c>
      <c r="G29" s="22"/>
      <c r="H29" s="22" t="s">
        <v>55</v>
      </c>
      <c r="I29" s="41">
        <f>IF(J29=0,0,J29/C10)</f>
        <v>0.47250000006874709</v>
      </c>
      <c r="J29" s="42">
        <f>C10-J11-J14-J18-J23</f>
        <v>4982940.7700000005</v>
      </c>
      <c r="K29" s="42">
        <f>ROUND(D10*I29,2)</f>
        <v>0</v>
      </c>
      <c r="L29" s="42">
        <f t="shared" ref="L29:L31" si="3">J29-K29</f>
        <v>4982940.7700000005</v>
      </c>
      <c r="Q29" s="160"/>
    </row>
    <row r="30" spans="1:1020" ht="14.1" customHeight="1" thickBot="1" x14ac:dyDescent="0.3">
      <c r="A30" s="18"/>
      <c r="B30" s="45" t="s">
        <v>56</v>
      </c>
      <c r="C30" s="46">
        <v>0</v>
      </c>
      <c r="D30" s="46">
        <v>0</v>
      </c>
      <c r="E30" s="21">
        <f t="shared" si="2"/>
        <v>0</v>
      </c>
      <c r="G30" s="48"/>
      <c r="H30" s="30" t="s">
        <v>57</v>
      </c>
      <c r="I30" s="31">
        <f>IF(J30=0,0,J30/C15)</f>
        <v>0.31500000312096194</v>
      </c>
      <c r="J30" s="32">
        <f>C15-J12-J15-J20-J25</f>
        <v>343163.40999999968</v>
      </c>
      <c r="K30" s="32">
        <f>ROUND(D15*I30,2)</f>
        <v>0</v>
      </c>
      <c r="L30" s="32">
        <f t="shared" si="3"/>
        <v>343163.40999999968</v>
      </c>
      <c r="Q30" s="160"/>
    </row>
    <row r="31" spans="1:1020" ht="14.1" customHeight="1" thickBot="1" x14ac:dyDescent="0.3">
      <c r="A31" s="12" t="s">
        <v>58</v>
      </c>
      <c r="B31" s="43"/>
      <c r="C31" s="55">
        <v>25775495.600000001</v>
      </c>
      <c r="D31" s="55">
        <v>0</v>
      </c>
      <c r="E31" s="44">
        <f t="shared" si="2"/>
        <v>25775495.600000001</v>
      </c>
      <c r="G31" s="48"/>
      <c r="H31" s="30" t="s">
        <v>59</v>
      </c>
      <c r="I31" s="31">
        <f>IF(J31=0,0,J31/C32)</f>
        <v>0.62999942857499569</v>
      </c>
      <c r="J31" s="32">
        <f>C32-J16-J21-J26</f>
        <v>13119.820000000002</v>
      </c>
      <c r="K31" s="32">
        <f>ROUND(D32*I31,2)</f>
        <v>0</v>
      </c>
      <c r="L31" s="32">
        <f t="shared" si="3"/>
        <v>13119.820000000002</v>
      </c>
      <c r="Q31" s="160"/>
    </row>
    <row r="32" spans="1:1020" s="4" customFormat="1" ht="14.1" customHeight="1" thickBot="1" x14ac:dyDescent="0.3">
      <c r="A32" s="56" t="s">
        <v>60</v>
      </c>
      <c r="B32" s="57"/>
      <c r="C32" s="58">
        <v>20825.13</v>
      </c>
      <c r="D32" s="55">
        <v>0</v>
      </c>
      <c r="E32" s="59">
        <f t="shared" si="2"/>
        <v>20825.13</v>
      </c>
      <c r="F32" s="3"/>
      <c r="G32" s="51" t="s">
        <v>64</v>
      </c>
      <c r="H32" s="63"/>
      <c r="I32" s="64"/>
      <c r="J32" s="65">
        <f>J33</f>
        <v>16238562.230000002</v>
      </c>
      <c r="K32" s="65">
        <f>K33</f>
        <v>0</v>
      </c>
      <c r="L32" s="65">
        <f>J32-K32</f>
        <v>16238562.230000002</v>
      </c>
      <c r="M32" s="3"/>
      <c r="N32" s="3"/>
      <c r="O32" s="3"/>
      <c r="P32" s="160"/>
      <c r="Q32" s="160"/>
      <c r="R32" s="16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5616.2</v>
      </c>
      <c r="D33" s="55">
        <v>205.98</v>
      </c>
      <c r="E33" s="44">
        <f>C33-D33</f>
        <v>5410.22</v>
      </c>
      <c r="F33" s="3"/>
      <c r="G33" s="129"/>
      <c r="H33" s="126" t="s">
        <v>87</v>
      </c>
      <c r="I33" s="127">
        <f>IF(J33=0,0,J33/C31)</f>
        <v>0.63000000007759316</v>
      </c>
      <c r="J33" s="128">
        <f>C31-J19-J24</f>
        <v>16238562.230000002</v>
      </c>
      <c r="K33" s="128">
        <f>ROUND(D31*I33,2)</f>
        <v>0</v>
      </c>
      <c r="L33" s="128">
        <f>J33-K33</f>
        <v>16238562.230000002</v>
      </c>
      <c r="M33" s="3"/>
      <c r="N33" s="3"/>
      <c r="O33" s="3"/>
      <c r="P33" s="160"/>
      <c r="Q33" s="160"/>
      <c r="R33" s="16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79706.77</v>
      </c>
      <c r="D34" s="58">
        <v>0</v>
      </c>
      <c r="E34" s="59">
        <f>C34-D34</f>
        <v>79706.77</v>
      </c>
      <c r="G34" s="51" t="s">
        <v>61</v>
      </c>
      <c r="H34" s="63"/>
      <c r="I34" s="64"/>
      <c r="J34" s="125">
        <f>SUM(J35:J36)</f>
        <v>85322.97</v>
      </c>
      <c r="K34" s="125">
        <f>SUM(K35:K36)</f>
        <v>205.98</v>
      </c>
      <c r="L34" s="125">
        <f>J34-K34</f>
        <v>85116.99</v>
      </c>
      <c r="Q34" s="160"/>
    </row>
    <row r="35" spans="1:1020" ht="14.1" customHeight="1" thickBot="1" x14ac:dyDescent="0.3">
      <c r="A35" s="66"/>
      <c r="B35" s="67" t="s">
        <v>65</v>
      </c>
      <c r="C35" s="68">
        <f>C10+C15+C31+C32+C33+C34</f>
        <v>37516957.730000012</v>
      </c>
      <c r="D35" s="68">
        <f>D10+D15+D31+D32+D33+D34</f>
        <v>205.98</v>
      </c>
      <c r="E35" s="68">
        <f>E10+E15+E31+E32+E33+E34</f>
        <v>37516751.750000007</v>
      </c>
      <c r="G35" s="48"/>
      <c r="H35" s="60" t="s">
        <v>88</v>
      </c>
      <c r="I35" s="61">
        <v>1</v>
      </c>
      <c r="J35" s="62">
        <f>C33</f>
        <v>5616.2</v>
      </c>
      <c r="K35" s="62">
        <f>D33</f>
        <v>205.98</v>
      </c>
      <c r="L35" s="62">
        <f>J35-K35</f>
        <v>5410.22</v>
      </c>
      <c r="Q35" s="160"/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79706.77</v>
      </c>
      <c r="K36" s="32">
        <f>D34</f>
        <v>0</v>
      </c>
      <c r="L36" s="32">
        <f>J36-K36</f>
        <v>79706.77</v>
      </c>
      <c r="Q36" s="160"/>
    </row>
    <row r="37" spans="1:1020" ht="14.1" customHeight="1" thickBot="1" x14ac:dyDescent="0.3">
      <c r="A37" s="130"/>
      <c r="B37" s="172"/>
      <c r="C37" s="172"/>
      <c r="D37" s="172"/>
      <c r="E37" s="172"/>
      <c r="F37" s="172"/>
      <c r="G37" s="71" t="s">
        <v>66</v>
      </c>
      <c r="H37" s="71"/>
      <c r="I37" s="72"/>
      <c r="J37" s="73">
        <f>J27+J22+J17+J13+J10</f>
        <v>37516957.730000004</v>
      </c>
      <c r="K37" s="73">
        <f>K27+K22+K17+K13+K10</f>
        <v>205.98</v>
      </c>
      <c r="L37" s="73">
        <f>L27+L22+L17+L13+L10</f>
        <v>37516751.75</v>
      </c>
    </row>
    <row r="38" spans="1:1020" ht="14.1" customHeight="1" x14ac:dyDescent="0.25">
      <c r="A38" s="163"/>
      <c r="B38" s="163"/>
      <c r="C38" s="4"/>
      <c r="D38" s="4"/>
      <c r="E38" s="4"/>
      <c r="Q38" s="166"/>
    </row>
    <row r="39" spans="1:1020" s="159" customFormat="1" ht="15.75" x14ac:dyDescent="0.25">
      <c r="A39" s="130"/>
      <c r="B39" s="164"/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165"/>
      <c r="Q39" s="74"/>
      <c r="R39" s="165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160"/>
      <c r="Q40" s="3"/>
      <c r="R40" s="160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3" t="s">
        <v>67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3"/>
      <c r="N41" s="3"/>
      <c r="O41" s="3"/>
      <c r="P41" s="160"/>
      <c r="Q41" s="3"/>
      <c r="R41" s="160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4" t="s">
        <v>68</v>
      </c>
      <c r="C42" s="177" t="s">
        <v>69</v>
      </c>
      <c r="D42" s="178"/>
      <c r="E42" s="178"/>
      <c r="F42" s="179"/>
      <c r="G42" s="177" t="s">
        <v>70</v>
      </c>
      <c r="H42" s="178"/>
      <c r="I42" s="178"/>
      <c r="J42" s="180" t="s">
        <v>71</v>
      </c>
      <c r="K42" s="180" t="s">
        <v>72</v>
      </c>
      <c r="L42" s="180" t="s">
        <v>73</v>
      </c>
      <c r="M42" s="3"/>
      <c r="N42" s="3"/>
      <c r="O42" s="3"/>
      <c r="P42" s="160"/>
      <c r="Q42" s="3"/>
      <c r="R42" s="16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5"/>
      <c r="C43" s="183" t="s">
        <v>74</v>
      </c>
      <c r="D43" s="185" t="s">
        <v>75</v>
      </c>
      <c r="E43" s="80" t="s">
        <v>68</v>
      </c>
      <c r="F43" s="81" t="s">
        <v>76</v>
      </c>
      <c r="G43" s="187" t="s">
        <v>77</v>
      </c>
      <c r="H43" s="80" t="s">
        <v>68</v>
      </c>
      <c r="I43" s="81" t="s">
        <v>76</v>
      </c>
      <c r="J43" s="181"/>
      <c r="K43" s="181"/>
      <c r="L43" s="181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6"/>
      <c r="C44" s="184"/>
      <c r="D44" s="186"/>
      <c r="E44" s="83" t="s">
        <v>78</v>
      </c>
      <c r="F44" s="84" t="s">
        <v>79</v>
      </c>
      <c r="G44" s="188"/>
      <c r="H44" s="83" t="s">
        <v>80</v>
      </c>
      <c r="I44" s="84" t="s">
        <v>81</v>
      </c>
      <c r="J44" s="182"/>
      <c r="K44" s="182"/>
      <c r="L44" s="182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113151.66</v>
      </c>
      <c r="E45" s="133">
        <f t="shared" ref="E45:E59" si="5">ROUND(D45*0.8,2)</f>
        <v>90521.33</v>
      </c>
      <c r="F45" s="134">
        <f t="shared" ref="F45:F59" si="6">ROUND(D45*0.2,2)</f>
        <v>22630.33</v>
      </c>
      <c r="G45" s="135">
        <f t="shared" ref="G45:G59" si="7">ROUND(E16*0.5,2)</f>
        <v>1352.02</v>
      </c>
      <c r="H45" s="133">
        <f t="shared" ref="H45:H59" si="8">ROUND(G45*0.8,2)</f>
        <v>1081.6199999999999</v>
      </c>
      <c r="I45" s="134">
        <f t="shared" ref="I45:I59" si="9">ROUND(G45*0.2,2)</f>
        <v>270.39999999999998</v>
      </c>
      <c r="J45" s="136">
        <f>D45+G45</f>
        <v>114503.68000000001</v>
      </c>
      <c r="K45" s="137">
        <f>F45+I45</f>
        <v>22900.730000000003</v>
      </c>
      <c r="L45" s="136">
        <f>E45+H45</f>
        <v>91602.95</v>
      </c>
      <c r="M45" s="123"/>
      <c r="N45" s="123"/>
      <c r="O45" s="123"/>
      <c r="P45" s="160"/>
      <c r="Q45" s="123"/>
      <c r="R45" s="160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61213.63</v>
      </c>
      <c r="E46" s="140">
        <f t="shared" si="5"/>
        <v>48970.9</v>
      </c>
      <c r="F46" s="141">
        <f t="shared" si="6"/>
        <v>12242.73</v>
      </c>
      <c r="G46" s="142">
        <f t="shared" si="7"/>
        <v>21.49</v>
      </c>
      <c r="H46" s="140">
        <f t="shared" si="8"/>
        <v>17.190000000000001</v>
      </c>
      <c r="I46" s="141">
        <f t="shared" si="9"/>
        <v>4.3</v>
      </c>
      <c r="J46" s="143">
        <f>D46+G46</f>
        <v>61235.119999999995</v>
      </c>
      <c r="K46" s="144">
        <f t="shared" ref="K46:K60" si="10">F46+I46</f>
        <v>12247.029999999999</v>
      </c>
      <c r="L46" s="143">
        <f>E46+H46</f>
        <v>48988.090000000004</v>
      </c>
      <c r="M46" s="123"/>
      <c r="N46" s="123"/>
      <c r="O46" s="123"/>
      <c r="P46" s="160"/>
      <c r="Q46" s="123"/>
      <c r="R46" s="160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1551307.64</v>
      </c>
      <c r="E47" s="140">
        <f t="shared" si="5"/>
        <v>1241046.1100000001</v>
      </c>
      <c r="F47" s="141">
        <f t="shared" si="6"/>
        <v>310261.53000000003</v>
      </c>
      <c r="G47" s="142">
        <f t="shared" si="7"/>
        <v>511959.39</v>
      </c>
      <c r="H47" s="140">
        <f t="shared" si="8"/>
        <v>409567.51</v>
      </c>
      <c r="I47" s="141">
        <f t="shared" si="9"/>
        <v>102391.88</v>
      </c>
      <c r="J47" s="143">
        <f t="shared" ref="J47:J58" si="11">D47+G47</f>
        <v>2063267.0299999998</v>
      </c>
      <c r="K47" s="144">
        <f t="shared" si="10"/>
        <v>412653.41000000003</v>
      </c>
      <c r="L47" s="143">
        <f t="shared" ref="L47:L57" si="12">E47+H47</f>
        <v>1650613.62</v>
      </c>
      <c r="M47" s="123"/>
      <c r="N47" s="123"/>
      <c r="O47" s="123"/>
      <c r="P47" s="160"/>
      <c r="Q47" s="123"/>
      <c r="R47" s="160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94774.16</v>
      </c>
      <c r="E48" s="140">
        <f t="shared" si="5"/>
        <v>75819.33</v>
      </c>
      <c r="F48" s="141">
        <f t="shared" si="6"/>
        <v>18954.830000000002</v>
      </c>
      <c r="G48" s="142">
        <f t="shared" si="7"/>
        <v>1741.04</v>
      </c>
      <c r="H48" s="140">
        <f t="shared" si="8"/>
        <v>1392.83</v>
      </c>
      <c r="I48" s="141">
        <f t="shared" si="9"/>
        <v>348.21</v>
      </c>
      <c r="J48" s="143">
        <f t="shared" si="11"/>
        <v>96515.199999999997</v>
      </c>
      <c r="K48" s="144">
        <f t="shared" si="10"/>
        <v>19303.04</v>
      </c>
      <c r="L48" s="143">
        <f t="shared" si="12"/>
        <v>77212.160000000003</v>
      </c>
      <c r="M48" s="123"/>
      <c r="N48" s="123"/>
      <c r="O48" s="123"/>
      <c r="P48" s="160"/>
      <c r="Q48" s="123"/>
      <c r="R48" s="160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78495.13</v>
      </c>
      <c r="E49" s="140">
        <f t="shared" si="5"/>
        <v>62796.1</v>
      </c>
      <c r="F49" s="141">
        <f t="shared" si="6"/>
        <v>15699.03</v>
      </c>
      <c r="G49" s="142">
        <f t="shared" si="7"/>
        <v>1102.6199999999999</v>
      </c>
      <c r="H49" s="140">
        <f t="shared" si="8"/>
        <v>882.1</v>
      </c>
      <c r="I49" s="141">
        <f t="shared" si="9"/>
        <v>220.52</v>
      </c>
      <c r="J49" s="143">
        <f t="shared" si="11"/>
        <v>79597.75</v>
      </c>
      <c r="K49" s="144">
        <f t="shared" si="10"/>
        <v>15919.550000000001</v>
      </c>
      <c r="L49" s="143">
        <f t="shared" si="12"/>
        <v>63678.2</v>
      </c>
      <c r="M49" s="123"/>
      <c r="N49" s="123"/>
      <c r="O49" s="123"/>
      <c r="P49" s="160"/>
      <c r="Q49" s="123"/>
      <c r="R49" s="160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88731.14</v>
      </c>
      <c r="E50" s="140">
        <f t="shared" si="5"/>
        <v>70984.91</v>
      </c>
      <c r="F50" s="141">
        <f t="shared" si="6"/>
        <v>17746.23</v>
      </c>
      <c r="G50" s="142">
        <f t="shared" si="7"/>
        <v>2863.22</v>
      </c>
      <c r="H50" s="140">
        <f t="shared" si="8"/>
        <v>2290.58</v>
      </c>
      <c r="I50" s="141">
        <f t="shared" si="9"/>
        <v>572.64</v>
      </c>
      <c r="J50" s="143">
        <f t="shared" si="11"/>
        <v>91594.36</v>
      </c>
      <c r="K50" s="144">
        <f t="shared" si="10"/>
        <v>18318.87</v>
      </c>
      <c r="L50" s="143">
        <f t="shared" si="12"/>
        <v>73275.490000000005</v>
      </c>
      <c r="M50" s="123"/>
      <c r="N50" s="123"/>
      <c r="O50" s="123"/>
      <c r="P50" s="160"/>
      <c r="Q50" s="123"/>
      <c r="R50" s="160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65639.81</v>
      </c>
      <c r="E51" s="140">
        <f t="shared" si="5"/>
        <v>52511.85</v>
      </c>
      <c r="F51" s="141">
        <f t="shared" si="6"/>
        <v>13127.96</v>
      </c>
      <c r="G51" s="142">
        <f t="shared" si="7"/>
        <v>829.18</v>
      </c>
      <c r="H51" s="140">
        <f t="shared" si="8"/>
        <v>663.34</v>
      </c>
      <c r="I51" s="141">
        <f t="shared" si="9"/>
        <v>165.84</v>
      </c>
      <c r="J51" s="143">
        <f t="shared" si="11"/>
        <v>66468.989999999991</v>
      </c>
      <c r="K51" s="144">
        <f t="shared" si="10"/>
        <v>13293.8</v>
      </c>
      <c r="L51" s="143">
        <f t="shared" si="12"/>
        <v>53175.189999999995</v>
      </c>
      <c r="M51" s="123"/>
      <c r="N51" s="123"/>
      <c r="O51" s="123"/>
      <c r="P51" s="160"/>
      <c r="Q51" s="123"/>
      <c r="R51" s="160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66249.320000000007</v>
      </c>
      <c r="E52" s="140">
        <f t="shared" si="5"/>
        <v>52999.46</v>
      </c>
      <c r="F52" s="141">
        <f t="shared" si="6"/>
        <v>13249.86</v>
      </c>
      <c r="G52" s="142">
        <f t="shared" si="7"/>
        <v>3819.56</v>
      </c>
      <c r="H52" s="140">
        <f t="shared" si="8"/>
        <v>3055.65</v>
      </c>
      <c r="I52" s="141">
        <f t="shared" si="9"/>
        <v>763.91</v>
      </c>
      <c r="J52" s="143">
        <f t="shared" si="11"/>
        <v>70068.88</v>
      </c>
      <c r="K52" s="144">
        <f t="shared" si="10"/>
        <v>14013.77</v>
      </c>
      <c r="L52" s="143">
        <f t="shared" si="12"/>
        <v>56055.11</v>
      </c>
      <c r="M52" s="123"/>
      <c r="N52" s="123"/>
      <c r="O52" s="123"/>
      <c r="P52" s="160"/>
      <c r="Q52" s="123"/>
      <c r="R52" s="16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72116.34</v>
      </c>
      <c r="E53" s="140">
        <f>ROUND(D53*0.8,2)</f>
        <v>57693.07</v>
      </c>
      <c r="F53" s="141">
        <f t="shared" si="6"/>
        <v>14423.27</v>
      </c>
      <c r="G53" s="142">
        <f t="shared" si="7"/>
        <v>2890.28</v>
      </c>
      <c r="H53" s="140">
        <f t="shared" si="8"/>
        <v>2312.2199999999998</v>
      </c>
      <c r="I53" s="141">
        <f t="shared" si="9"/>
        <v>578.05999999999995</v>
      </c>
      <c r="J53" s="143">
        <f t="shared" si="11"/>
        <v>75006.62</v>
      </c>
      <c r="K53" s="144">
        <f t="shared" si="10"/>
        <v>15001.33</v>
      </c>
      <c r="L53" s="143">
        <f t="shared" si="12"/>
        <v>60005.29</v>
      </c>
      <c r="M53" s="123"/>
      <c r="N53" s="123"/>
      <c r="O53" s="123"/>
      <c r="P53" s="160"/>
      <c r="Q53" s="123"/>
      <c r="R53" s="160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75897.41</v>
      </c>
      <c r="E54" s="140">
        <f t="shared" si="5"/>
        <v>60717.93</v>
      </c>
      <c r="F54" s="141">
        <f t="shared" si="6"/>
        <v>15179.48</v>
      </c>
      <c r="G54" s="142">
        <f t="shared" si="7"/>
        <v>1999.25</v>
      </c>
      <c r="H54" s="140">
        <f t="shared" si="8"/>
        <v>1599.4</v>
      </c>
      <c r="I54" s="141">
        <f t="shared" si="9"/>
        <v>399.85</v>
      </c>
      <c r="J54" s="143">
        <f t="shared" si="11"/>
        <v>77896.66</v>
      </c>
      <c r="K54" s="144">
        <f t="shared" si="10"/>
        <v>15579.33</v>
      </c>
      <c r="L54" s="143">
        <f t="shared" si="12"/>
        <v>62317.33</v>
      </c>
      <c r="M54" s="123"/>
      <c r="N54" s="123"/>
      <c r="O54" s="123"/>
      <c r="P54" s="160"/>
      <c r="Q54" s="123"/>
      <c r="R54" s="160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64546.19</v>
      </c>
      <c r="E55" s="140">
        <f t="shared" si="5"/>
        <v>51636.95</v>
      </c>
      <c r="F55" s="141">
        <f t="shared" si="6"/>
        <v>12909.24</v>
      </c>
      <c r="G55" s="142">
        <f t="shared" si="7"/>
        <v>1764.27</v>
      </c>
      <c r="H55" s="140">
        <f t="shared" si="8"/>
        <v>1411.42</v>
      </c>
      <c r="I55" s="141">
        <f t="shared" si="9"/>
        <v>352.85</v>
      </c>
      <c r="J55" s="143">
        <f t="shared" si="11"/>
        <v>66310.460000000006</v>
      </c>
      <c r="K55" s="144">
        <f t="shared" si="10"/>
        <v>13262.09</v>
      </c>
      <c r="L55" s="143">
        <f t="shared" si="12"/>
        <v>53048.369999999995</v>
      </c>
      <c r="M55" s="123"/>
      <c r="N55" s="123"/>
      <c r="O55" s="123"/>
      <c r="P55" s="160"/>
      <c r="Q55" s="123"/>
      <c r="R55" s="160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86797.56</v>
      </c>
      <c r="E56" s="140">
        <f t="shared" si="5"/>
        <v>69438.05</v>
      </c>
      <c r="F56" s="141">
        <f t="shared" si="6"/>
        <v>17359.509999999998</v>
      </c>
      <c r="G56" s="142">
        <f t="shared" si="7"/>
        <v>12361.61</v>
      </c>
      <c r="H56" s="140">
        <f t="shared" si="8"/>
        <v>9889.2900000000009</v>
      </c>
      <c r="I56" s="141">
        <f t="shared" si="9"/>
        <v>2472.3200000000002</v>
      </c>
      <c r="J56" s="143">
        <f t="shared" si="11"/>
        <v>99159.17</v>
      </c>
      <c r="K56" s="144">
        <f t="shared" si="10"/>
        <v>19831.829999999998</v>
      </c>
      <c r="L56" s="143">
        <f t="shared" si="12"/>
        <v>79327.34</v>
      </c>
      <c r="M56" s="123"/>
      <c r="N56" s="123"/>
      <c r="O56" s="123"/>
      <c r="P56" s="160"/>
      <c r="Q56" s="123"/>
      <c r="R56" s="160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72612.350000000006</v>
      </c>
      <c r="E57" s="154">
        <f t="shared" si="5"/>
        <v>58089.88</v>
      </c>
      <c r="F57" s="155">
        <f t="shared" si="6"/>
        <v>14522.47</v>
      </c>
      <c r="G57" s="153">
        <f t="shared" si="7"/>
        <v>1280.98</v>
      </c>
      <c r="H57" s="154">
        <f t="shared" si="8"/>
        <v>1024.78</v>
      </c>
      <c r="I57" s="155">
        <f t="shared" si="9"/>
        <v>256.2</v>
      </c>
      <c r="J57" s="156">
        <f t="shared" si="11"/>
        <v>73893.33</v>
      </c>
      <c r="K57" s="157">
        <f t="shared" si="10"/>
        <v>14778.67</v>
      </c>
      <c r="L57" s="156">
        <f t="shared" si="12"/>
        <v>59114.659999999996</v>
      </c>
      <c r="M57" s="146"/>
      <c r="N57" s="146"/>
      <c r="O57" s="146"/>
      <c r="P57" s="160"/>
      <c r="Q57" s="146"/>
      <c r="R57" s="160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68552.61</v>
      </c>
      <c r="E58" s="140">
        <f t="shared" si="5"/>
        <v>54842.09</v>
      </c>
      <c r="F58" s="141">
        <f t="shared" si="6"/>
        <v>13710.52</v>
      </c>
      <c r="G58" s="142">
        <f t="shared" si="7"/>
        <v>718.95</v>
      </c>
      <c r="H58" s="140">
        <f t="shared" si="8"/>
        <v>575.16</v>
      </c>
      <c r="I58" s="141">
        <f t="shared" si="9"/>
        <v>143.79</v>
      </c>
      <c r="J58" s="143">
        <f t="shared" si="11"/>
        <v>69271.56</v>
      </c>
      <c r="K58" s="144">
        <f t="shared" si="10"/>
        <v>13854.310000000001</v>
      </c>
      <c r="L58" s="143">
        <f t="shared" ref="L58" si="13">J58-K58</f>
        <v>55417.25</v>
      </c>
      <c r="M58" s="123"/>
      <c r="N58" s="123"/>
      <c r="O58" s="123"/>
      <c r="P58" s="160"/>
      <c r="Q58" s="123"/>
      <c r="R58" s="160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76391.66</v>
      </c>
      <c r="E59" s="133">
        <f t="shared" si="5"/>
        <v>61113.33</v>
      </c>
      <c r="F59" s="148">
        <f t="shared" si="6"/>
        <v>15278.33</v>
      </c>
      <c r="G59" s="139">
        <f t="shared" si="7"/>
        <v>0</v>
      </c>
      <c r="H59" s="149">
        <f t="shared" si="8"/>
        <v>0</v>
      </c>
      <c r="I59" s="148">
        <f t="shared" si="9"/>
        <v>0</v>
      </c>
      <c r="J59" s="150">
        <f>D59+G59</f>
        <v>76391.66</v>
      </c>
      <c r="K59" s="151">
        <f t="shared" si="10"/>
        <v>15278.33</v>
      </c>
      <c r="L59" s="150">
        <f>E59+H59</f>
        <v>61113.33</v>
      </c>
      <c r="M59" s="123"/>
      <c r="N59" s="123"/>
      <c r="O59" s="123"/>
      <c r="P59" s="160"/>
      <c r="Q59" s="123"/>
      <c r="R59" s="160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2636476.61</v>
      </c>
      <c r="E60" s="89">
        <f t="shared" si="14"/>
        <v>2109181.29</v>
      </c>
      <c r="F60" s="73">
        <f t="shared" si="14"/>
        <v>527295.32000000007</v>
      </c>
      <c r="G60" s="90">
        <f t="shared" si="14"/>
        <v>544703.85999999987</v>
      </c>
      <c r="H60" s="89">
        <f t="shared" si="14"/>
        <v>435763.09</v>
      </c>
      <c r="I60" s="73">
        <f t="shared" si="14"/>
        <v>108940.77000000002</v>
      </c>
      <c r="J60" s="91">
        <f>SUM(J45:J59)</f>
        <v>3181180.47</v>
      </c>
      <c r="K60" s="91">
        <f t="shared" si="10"/>
        <v>636236.09000000008</v>
      </c>
      <c r="L60" s="91">
        <f>E60+H60</f>
        <v>2544944.38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89" t="s">
        <v>91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</row>
    <row r="63" spans="1:1019" ht="12" customHeight="1" thickBot="1" x14ac:dyDescent="0.3">
      <c r="A63" s="48"/>
      <c r="B63" s="190" t="s">
        <v>68</v>
      </c>
      <c r="C63" s="191" t="s">
        <v>74</v>
      </c>
      <c r="D63" s="192" t="s">
        <v>69</v>
      </c>
      <c r="E63" s="193"/>
      <c r="F63" s="194"/>
      <c r="G63" s="195" t="s">
        <v>70</v>
      </c>
      <c r="H63" s="195"/>
      <c r="I63" s="195"/>
      <c r="J63" s="196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90"/>
      <c r="C64" s="191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97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7047.7</v>
      </c>
      <c r="E65" s="85">
        <f>ROUND($L$14*C65,2)</f>
        <v>21143.09</v>
      </c>
      <c r="F65" s="103">
        <f t="shared" ref="F65:F80" si="15">D65+E65</f>
        <v>28190.79</v>
      </c>
      <c r="G65" s="102">
        <f>ROUND(C65*$I$60,2)</f>
        <v>1456.07</v>
      </c>
      <c r="H65" s="104">
        <f t="shared" ref="H65:H80" si="16">ROUND(C65*$L$15,2)</f>
        <v>1456.07</v>
      </c>
      <c r="I65" s="103">
        <f t="shared" ref="I65:I80" si="17">G65+H65</f>
        <v>2912.14</v>
      </c>
      <c r="J65" s="105">
        <f t="shared" ref="J65:J80" si="18">ROUND($L$16*C65,2)</f>
        <v>55.67</v>
      </c>
      <c r="K65" s="106">
        <f>F65+I65+J65</f>
        <v>31158.6</v>
      </c>
      <c r="L65" s="107">
        <f>((K65/K45)-1)*100</f>
        <v>36.059418193219138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4378.18</v>
      </c>
      <c r="E66" s="86">
        <f>ROUND($L$14*C66,2)</f>
        <v>13134.54</v>
      </c>
      <c r="F66" s="110">
        <f t="shared" si="15"/>
        <v>17512.72</v>
      </c>
      <c r="G66" s="109">
        <f>ROUND(C66*$I$60,2)</f>
        <v>904.54</v>
      </c>
      <c r="H66" s="86">
        <f t="shared" si="16"/>
        <v>904.54</v>
      </c>
      <c r="I66" s="110">
        <f t="shared" si="17"/>
        <v>1809.08</v>
      </c>
      <c r="J66" s="111">
        <f t="shared" si="18"/>
        <v>34.58</v>
      </c>
      <c r="K66" s="106">
        <f t="shared" ref="K66:K80" si="19">F66+I66+J66</f>
        <v>19356.380000000005</v>
      </c>
      <c r="L66" s="107">
        <f t="shared" ref="L66:L79" si="20">((K66/K46)-1)*100</f>
        <v>58.049584266552841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151002.67000000001</v>
      </c>
      <c r="E67" s="86">
        <f t="shared" ref="E67:E80" si="22">ROUND($L$14*C67,2)</f>
        <v>453008.01</v>
      </c>
      <c r="F67" s="110">
        <f t="shared" si="15"/>
        <v>604010.68000000005</v>
      </c>
      <c r="G67" s="109">
        <f t="shared" ref="G67:G79" si="23">ROUND(C67*$I$60,2)</f>
        <v>31197.599999999999</v>
      </c>
      <c r="H67" s="86">
        <f t="shared" si="16"/>
        <v>31197.59</v>
      </c>
      <c r="I67" s="110">
        <f t="shared" si="17"/>
        <v>62395.19</v>
      </c>
      <c r="J67" s="111">
        <f t="shared" si="18"/>
        <v>1192.75</v>
      </c>
      <c r="K67" s="106">
        <f t="shared" si="19"/>
        <v>667598.62000000011</v>
      </c>
      <c r="L67" s="107">
        <f t="shared" si="20"/>
        <v>61.781922509740085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11367.97</v>
      </c>
      <c r="E68" s="86">
        <f t="shared" si="22"/>
        <v>34103.919999999998</v>
      </c>
      <c r="F68" s="110">
        <f t="shared" si="15"/>
        <v>45471.89</v>
      </c>
      <c r="G68" s="109">
        <f t="shared" si="23"/>
        <v>2348.66</v>
      </c>
      <c r="H68" s="86">
        <f t="shared" si="16"/>
        <v>2348.66</v>
      </c>
      <c r="I68" s="110">
        <f t="shared" si="17"/>
        <v>4697.32</v>
      </c>
      <c r="J68" s="111">
        <f t="shared" si="18"/>
        <v>89.79</v>
      </c>
      <c r="K68" s="106">
        <f t="shared" si="19"/>
        <v>50259</v>
      </c>
      <c r="L68" s="107">
        <f t="shared" si="20"/>
        <v>160.36831504260471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8654.83</v>
      </c>
      <c r="E69" s="86">
        <f t="shared" si="22"/>
        <v>25964.48</v>
      </c>
      <c r="F69" s="110">
        <f t="shared" si="15"/>
        <v>34619.31</v>
      </c>
      <c r="G69" s="109">
        <f t="shared" si="23"/>
        <v>1788.11</v>
      </c>
      <c r="H69" s="86">
        <f t="shared" si="16"/>
        <v>1788.11</v>
      </c>
      <c r="I69" s="110">
        <f t="shared" si="17"/>
        <v>3576.22</v>
      </c>
      <c r="J69" s="111">
        <f t="shared" si="18"/>
        <v>68.36</v>
      </c>
      <c r="K69" s="106">
        <f t="shared" si="19"/>
        <v>38263.89</v>
      </c>
      <c r="L69" s="107">
        <f t="shared" si="20"/>
        <v>140.35786187423636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8949.4500000000007</v>
      </c>
      <c r="E70" s="86">
        <f t="shared" si="22"/>
        <v>26848.35</v>
      </c>
      <c r="F70" s="110">
        <f t="shared" si="15"/>
        <v>35797.800000000003</v>
      </c>
      <c r="G70" s="109">
        <f t="shared" si="23"/>
        <v>1848.98</v>
      </c>
      <c r="H70" s="86">
        <f t="shared" si="16"/>
        <v>1848.98</v>
      </c>
      <c r="I70" s="110">
        <f t="shared" si="17"/>
        <v>3697.96</v>
      </c>
      <c r="J70" s="111">
        <f t="shared" si="18"/>
        <v>70.69</v>
      </c>
      <c r="K70" s="106">
        <f t="shared" si="19"/>
        <v>39566.450000000004</v>
      </c>
      <c r="L70" s="107">
        <f t="shared" si="20"/>
        <v>115.98739441897892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5067.66</v>
      </c>
      <c r="E71" s="86">
        <f t="shared" si="22"/>
        <v>15202.99</v>
      </c>
      <c r="F71" s="110">
        <f t="shared" si="15"/>
        <v>20270.650000000001</v>
      </c>
      <c r="G71" s="109">
        <f t="shared" si="23"/>
        <v>1046.99</v>
      </c>
      <c r="H71" s="86">
        <f t="shared" si="16"/>
        <v>1046.99</v>
      </c>
      <c r="I71" s="110">
        <f t="shared" si="17"/>
        <v>2093.98</v>
      </c>
      <c r="J71" s="111">
        <f t="shared" si="18"/>
        <v>40.03</v>
      </c>
      <c r="K71" s="106">
        <f t="shared" si="19"/>
        <v>22404.66</v>
      </c>
      <c r="L71" s="107">
        <f t="shared" si="20"/>
        <v>68.534655252824621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3254.32</v>
      </c>
      <c r="E72" s="86">
        <f t="shared" si="22"/>
        <v>9762.9500000000007</v>
      </c>
      <c r="F72" s="110">
        <f t="shared" si="15"/>
        <v>13017.27</v>
      </c>
      <c r="G72" s="109">
        <f t="shared" si="23"/>
        <v>672.35</v>
      </c>
      <c r="H72" s="86">
        <f t="shared" si="16"/>
        <v>672.35</v>
      </c>
      <c r="I72" s="110">
        <f t="shared" si="17"/>
        <v>1344.7</v>
      </c>
      <c r="J72" s="111">
        <f t="shared" si="18"/>
        <v>25.71</v>
      </c>
      <c r="K72" s="106">
        <f>F72+I72+J72</f>
        <v>14387.68</v>
      </c>
      <c r="L72" s="107">
        <f t="shared" si="20"/>
        <v>2.6681613869786736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8731.16</v>
      </c>
      <c r="E73" s="86">
        <f t="shared" si="22"/>
        <v>26193.47</v>
      </c>
      <c r="F73" s="110">
        <f t="shared" si="15"/>
        <v>34924.630000000005</v>
      </c>
      <c r="G73" s="109">
        <f t="shared" si="23"/>
        <v>1803.88</v>
      </c>
      <c r="H73" s="86">
        <f t="shared" si="16"/>
        <v>1803.88</v>
      </c>
      <c r="I73" s="110">
        <f t="shared" si="17"/>
        <v>3607.76</v>
      </c>
      <c r="J73" s="111">
        <f t="shared" si="18"/>
        <v>68.97</v>
      </c>
      <c r="K73" s="106">
        <f t="shared" si="19"/>
        <v>38601.360000000008</v>
      </c>
      <c r="L73" s="107">
        <f t="shared" si="20"/>
        <v>157.31958433018943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13270.46</v>
      </c>
      <c r="E74" s="86">
        <f t="shared" si="22"/>
        <v>39811.370000000003</v>
      </c>
      <c r="F74" s="110">
        <f t="shared" si="15"/>
        <v>53081.83</v>
      </c>
      <c r="G74" s="109">
        <f t="shared" si="23"/>
        <v>2741.72</v>
      </c>
      <c r="H74" s="86">
        <f t="shared" si="16"/>
        <v>2741.71</v>
      </c>
      <c r="I74" s="110">
        <f t="shared" si="17"/>
        <v>5483.43</v>
      </c>
      <c r="J74" s="111">
        <f t="shared" si="18"/>
        <v>104.82</v>
      </c>
      <c r="K74" s="106">
        <f t="shared" si="19"/>
        <v>58670.080000000002</v>
      </c>
      <c r="L74" s="107">
        <f t="shared" si="20"/>
        <v>276.58923714947952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14443.37</v>
      </c>
      <c r="E75" s="86">
        <f t="shared" si="22"/>
        <v>43330.12</v>
      </c>
      <c r="F75" s="110">
        <f t="shared" si="15"/>
        <v>57773.490000000005</v>
      </c>
      <c r="G75" s="109">
        <f t="shared" si="23"/>
        <v>2984.04</v>
      </c>
      <c r="H75" s="86">
        <f t="shared" si="16"/>
        <v>2984.04</v>
      </c>
      <c r="I75" s="110">
        <f t="shared" si="17"/>
        <v>5968.08</v>
      </c>
      <c r="J75" s="111">
        <f t="shared" si="18"/>
        <v>114.09</v>
      </c>
      <c r="K75" s="106">
        <f t="shared" si="19"/>
        <v>63855.66</v>
      </c>
      <c r="L75" s="107">
        <f t="shared" si="20"/>
        <v>381.49017236348118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16410.63</v>
      </c>
      <c r="E76" s="86">
        <f t="shared" si="22"/>
        <v>49231.89</v>
      </c>
      <c r="F76" s="110">
        <f t="shared" si="15"/>
        <v>65642.52</v>
      </c>
      <c r="G76" s="109">
        <f t="shared" si="23"/>
        <v>3390.48</v>
      </c>
      <c r="H76" s="86">
        <f t="shared" si="16"/>
        <v>3390.48</v>
      </c>
      <c r="I76" s="110">
        <f t="shared" si="17"/>
        <v>6780.96</v>
      </c>
      <c r="J76" s="111">
        <f t="shared" si="18"/>
        <v>129.63</v>
      </c>
      <c r="K76" s="106">
        <f t="shared" si="19"/>
        <v>72553.110000000015</v>
      </c>
      <c r="L76" s="107">
        <f t="shared" si="20"/>
        <v>265.8417301882883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4252.53</v>
      </c>
      <c r="E77" s="86">
        <f t="shared" si="22"/>
        <v>12757.59</v>
      </c>
      <c r="F77" s="110">
        <f t="shared" si="15"/>
        <v>17010.12</v>
      </c>
      <c r="G77" s="109">
        <f t="shared" si="23"/>
        <v>878.59</v>
      </c>
      <c r="H77" s="86">
        <f t="shared" si="16"/>
        <v>878.59</v>
      </c>
      <c r="I77" s="110">
        <f t="shared" si="17"/>
        <v>1757.18</v>
      </c>
      <c r="J77" s="111">
        <f t="shared" si="18"/>
        <v>33.590000000000003</v>
      </c>
      <c r="K77" s="106">
        <f t="shared" si="19"/>
        <v>18800.89</v>
      </c>
      <c r="L77" s="107">
        <f t="shared" si="20"/>
        <v>27.216386860251962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3913.36</v>
      </c>
      <c r="E78" s="86">
        <f t="shared" si="22"/>
        <v>11740.08</v>
      </c>
      <c r="F78" s="110">
        <f t="shared" si="15"/>
        <v>15653.44</v>
      </c>
      <c r="G78" s="109">
        <f t="shared" si="23"/>
        <v>808.51</v>
      </c>
      <c r="H78" s="86">
        <f t="shared" si="16"/>
        <v>808.51</v>
      </c>
      <c r="I78" s="110">
        <f t="shared" si="17"/>
        <v>1617.02</v>
      </c>
      <c r="J78" s="111">
        <f t="shared" si="18"/>
        <v>30.91</v>
      </c>
      <c r="K78" s="106">
        <f t="shared" si="19"/>
        <v>17301.37</v>
      </c>
      <c r="L78" s="107">
        <f t="shared" si="20"/>
        <v>24.880777173312829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7976.02</v>
      </c>
      <c r="E79" s="86">
        <f t="shared" si="22"/>
        <v>23928.07</v>
      </c>
      <c r="F79" s="110">
        <f t="shared" si="15"/>
        <v>31904.09</v>
      </c>
      <c r="G79" s="109">
        <f t="shared" si="23"/>
        <v>1647.87</v>
      </c>
      <c r="H79" s="86">
        <f t="shared" si="16"/>
        <v>1647.87</v>
      </c>
      <c r="I79" s="110">
        <f t="shared" si="17"/>
        <v>3295.74</v>
      </c>
      <c r="J79" s="111">
        <f t="shared" si="18"/>
        <v>63</v>
      </c>
      <c r="K79" s="106">
        <f t="shared" si="19"/>
        <v>35262.83</v>
      </c>
      <c r="L79" s="107">
        <f t="shared" si="20"/>
        <v>130.80290843305517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258575.02</v>
      </c>
      <c r="E80" s="87">
        <f t="shared" si="22"/>
        <v>775725.05</v>
      </c>
      <c r="F80" s="103">
        <f t="shared" si="15"/>
        <v>1034300.0700000001</v>
      </c>
      <c r="G80" s="112">
        <f>ROUND(C80*$I$60,2)</f>
        <v>53422.36</v>
      </c>
      <c r="H80" s="87">
        <f t="shared" si="16"/>
        <v>53422.36</v>
      </c>
      <c r="I80" s="103">
        <f t="shared" si="17"/>
        <v>106844.72</v>
      </c>
      <c r="J80" s="113">
        <f t="shared" si="18"/>
        <v>2042.45</v>
      </c>
      <c r="K80" s="106">
        <f t="shared" si="19"/>
        <v>1143187.24</v>
      </c>
      <c r="L80" s="107">
        <f>((K80/L13)-1)*100</f>
        <v>-32.554996801606848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527295.32999999996</v>
      </c>
      <c r="E81" s="89">
        <f>SUM(E65:E80)</f>
        <v>1581885.9699999997</v>
      </c>
      <c r="F81" s="116">
        <f t="shared" ref="F81:K81" si="24">SUM(F65:F80)</f>
        <v>2109181.3000000003</v>
      </c>
      <c r="G81" s="115">
        <f t="shared" si="24"/>
        <v>108940.75</v>
      </c>
      <c r="H81" s="89">
        <f t="shared" si="24"/>
        <v>108940.73000000001</v>
      </c>
      <c r="I81" s="116">
        <f t="shared" si="24"/>
        <v>217881.48</v>
      </c>
      <c r="J81" s="73">
        <f t="shared" si="24"/>
        <v>4165.04</v>
      </c>
      <c r="K81" s="90">
        <f t="shared" si="24"/>
        <v>2331227.8200000003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60"/>
      <c r="Q82" s="123"/>
      <c r="R82" s="160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A62:L62"/>
    <mergeCell ref="B63:B64"/>
    <mergeCell ref="C63:C64"/>
    <mergeCell ref="D63:F63"/>
    <mergeCell ref="G63:I63"/>
    <mergeCell ref="J63:J64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J1:L3"/>
    <mergeCell ref="A5:L5"/>
    <mergeCell ref="J6:K6"/>
    <mergeCell ref="A9:B9"/>
    <mergeCell ref="B37:F37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7º PER. JULHO 2026</vt:lpstr>
      <vt:lpstr>'BTA 7º PER. JULHO 2026'!Área_de_Impressão</vt:lpstr>
      <vt:lpstr>'BTA 7º PER. JULHO 2026'!Print_Titles_0</vt:lpstr>
      <vt:lpstr>'BTA 7º PER. JULHO 2026'!Print_Titles_0_0</vt:lpstr>
      <vt:lpstr>'BTA 7º PER. JULHO 2026'!Print_Titles_0_0_0</vt:lpstr>
      <vt:lpstr>'BTA 7º PER. JULHO 2026'!Print_Titles_0_0_0_0</vt:lpstr>
      <vt:lpstr>'BTA 7º PER. JULHO 2026'!Print_Titles_0_0_0_0_0</vt:lpstr>
      <vt:lpstr>'BTA 7º PER. JULHO 2026'!Print_Titles_0_0_0_0_0_0</vt:lpstr>
      <vt:lpstr>'BTA 7º PER. JULHO 2026'!Print_Titles_0_0_0_0_0_0_0</vt:lpstr>
      <vt:lpstr>'BTA 7º PER. JULHO 2026'!Print_Titles_0_0_0_0_0_0_0_0</vt:lpstr>
      <vt:lpstr>'BTA 7º PER. JULHO 2026'!Print_Titles_0_0_0_0_0_0_0_0_0</vt:lpstr>
      <vt:lpstr>'BTA 7º PER. JULHO 2026'!Print_Titles_0_0_0_0_0_0_0_0_0_0</vt:lpstr>
      <vt:lpstr>'BTA 7º PER. JULHO 2026'!Print_Titles_0_0_0_0_0_0_0_0_0_0_0</vt:lpstr>
      <vt:lpstr>'BTA 7º PER. JULHO 2026'!Print_Titles_0_0_0_0_0_0_0_0_0_0_0_0</vt:lpstr>
      <vt:lpstr>'BTA 7º PER. JULHO 2026'!Print_Titles_0_0_0_0_0_0_0_0_0_0_0_0_0</vt:lpstr>
      <vt:lpstr>'BTA 7º PER. JULHO 2026'!Print_Titles_0_0_0_0_0_0_0_0_0_0_0_0_0_0</vt:lpstr>
      <vt:lpstr>'BTA 7º PER. JULHO 2026'!Print_Titles_0_0_0_0_0_0_0_0_0_0_0_0_0_0_0</vt:lpstr>
      <vt:lpstr>'BTA 7º PER. JULHO 2026'!Print_Titles_0_0_0_0_0_0_0_0_0_0_0_0_0_0_0_0</vt:lpstr>
      <vt:lpstr>'BTA 7º PER. JULHO 2026'!Print_Titles_0_0_0_0_0_0_0_0_0_0_0_0_0_0_0_0_0</vt:lpstr>
      <vt:lpstr>'BTA 7º PER. JULHO 2026'!Print_Titles_0_0_0_0_0_0_0_0_0_0_0_0_0_0_0_0_0_0</vt:lpstr>
      <vt:lpstr>'BTA 7º PER. JULHO 2026'!Print_Titles_0_0_0_0_0_0_0_0_0_0_0_0_0_0_0_0_0_0_0</vt:lpstr>
      <vt:lpstr>'BTA 7º PER. JULHO 2026'!Print_Titles_0_0_0_0_0_0_0_0_0_0_0_0_0_0_0_0_0_0_0_0</vt:lpstr>
      <vt:lpstr>'BTA 7º PER. JULHO 2026'!Print_Titles_0_0_0_0_0_0_0_0_0_0_0_0_0_0_0_0_0_0_0_0_0</vt:lpstr>
      <vt:lpstr>'BTA 7º PER. JULHO 2026'!Print_Titles_0_0_0_0_0_0_0_0_0_0_0_0_0_0_0_0_0_0_0_0_0_0</vt:lpstr>
      <vt:lpstr>'BTA 7º PER. JULHO 2026'!Print_Titles_0_0_0_0_0_0_0_0_0_0_0_0_0_0_0_0_0_0_0_0_0_0_0</vt:lpstr>
      <vt:lpstr>'BTA 7º PER. JULHO 2026'!Print_Titles_0_0_0_0_0_0_0_0_0_0_0_0_0_0_0_0_0_0_0_0_0_0_0_0</vt:lpstr>
      <vt:lpstr>'BTA 7º PER. JULHO 2026'!Print_Titles_0_0_0_0_0_0_0_0_0_0_0_0_0_0_0_0_0_0_0_0_0_0_0_0_0</vt:lpstr>
      <vt:lpstr>'BTA 7º PER. JULHO 2026'!Print_Titles_0_0_0_0_0_0_0_0_0_0_0_0_0_0_0_0_0_0_0_0_0_0_0_0_0_0</vt:lpstr>
      <vt:lpstr>'BTA 7º PER. JULHO 2026'!Print_Titles_0_0_0_0_0_0_0_0_0_0_0_0_0_0_0_0_0_0_0_0_0_0_0_0_0_0_0</vt:lpstr>
      <vt:lpstr>'BTA 7º PER. JULHO 2026'!Print_Titles_0_0_0_0_0_0_0_0_0_0_0_0_0_0_0_0_0_0_0_0_0_0_0_0_0_0_0_0</vt:lpstr>
      <vt:lpstr>'BTA 7º PER. JULHO 2026'!Print_Titles_0_0_0_0_0_0_0_0_0_0_0_0_0_0_0_0_0_0_0_0_0_0_0_0_0_0_0_0_0</vt:lpstr>
      <vt:lpstr>'BTA 7º PER. JULHO 2026'!Print_Titles_0_0_0_0_0_0_0_0_0_0_0_0_0_0_0_0_0_0_0_0_0_0_0_0_0_0_0_0_0_0</vt:lpstr>
      <vt:lpstr>'BTA 7º PER. JULHO 2026'!Print_Titles_0_0_0_0_0_0_0_0_0_0_0_0_0_0_0_0_0_0_0_0_0_0_0_0_0_0_0_0_0_0_0</vt:lpstr>
      <vt:lpstr>'BTA 7º PER. JULHO 2026'!Print_Titles_0_0_0_0_0_0_0_0_0_0_0_0_0_0_0_0_0_0_0_0_0_0_0_0_0_0_0_0_0_0_0_0</vt:lpstr>
      <vt:lpstr>'BTA 7º PER. JULHO 2026'!Print_Titles_0_0_0_0_0_0_0_0_0_0_0_0_0_0_0_0_0_0_0_0_0_0_0_0_0_0_0_0_0_0_0_0_0</vt:lpstr>
      <vt:lpstr>'BTA 7º PER. JULHO 2026'!Print_Titles_0_0_0_0_0_0_0_0_0_0_0_0_0_0_0_0_0_0_0_0_0_0_0_0_0_0_0_0_0_0_0_0_0_0</vt:lpstr>
      <vt:lpstr>'BTA 7º PER. JULHO 2026'!Print_Titles_0_0_0_0_0_0_0_0_0_0_0_0_0_0_0_0_0_0_0_0_0_0_0_0_0_0_0_0_0_0_0_0_0_0_0</vt:lpstr>
      <vt:lpstr>'BTA 7º PER. JULHO 2026'!Print_Titles_0_0_0_0_0_0_0_0_0_0_0_0_0_0_0_0_0_0_0_0_0_0_0_0_0_0_0_0_0_0_0_0_0_0_0_0</vt:lpstr>
      <vt:lpstr>'BTA 7º PER. JULHO 2026'!Print_Titles_0_0_0_0_0_0_0_0_0_0_0_0_0_0_0_0_0_0_0_0_0_0_0_0_0_0_0_0_0_0_0_0_0_0_0_0_0</vt:lpstr>
      <vt:lpstr>'BTA 7º PER. JULHO 2026'!Print_Titles_0_0_0_0_0_0_0_0_0_0_0_0_0_0_0_0_0_0_0_0_0_0_0_0_0_0_0_0_0_0_0_0_0_0_0_0_0_0</vt:lpstr>
      <vt:lpstr>'BTA 7º PER. JULHO 2026'!Print_Titles_0_0_0_0_0_0_0_0_0_0_0_0_0_0_0_0_0_0_0_0_0_0_0_0_0_0_0_0_0_0_0_0_0_0_0_0_0_0_0</vt:lpstr>
      <vt:lpstr>'BTA 7º PER. JULHO 2026'!Print_Titles_0_0_0_0_0_0_0_0_0_0_0_0_0_0_0_0_0_0_0_0_0_0_0_0_0_0_0_0_0_0_0_0_0_0_0_0_0_0_0_0</vt:lpstr>
      <vt:lpstr>'BTA 7º PER. JULHO 2026'!Print_Titles_0_0_0_0_0_0_0_0_0_0_0_0_0_0_0_0_0_0_0_0_0_0_0_0_0_0_0_0_0_0_0_0_0_0_0_0_0_0_0_0_0</vt:lpstr>
      <vt:lpstr>'BTA 7º PER. JULHO 2026'!Print_Titles_0_0_0_0_0_0_0_0_0_0_0_0_0_0_0_0_0_0_0_0_0_0_0_0_0_0_0_0_0_0_0_0_0_0_0_0_0_0_0_0_0_0</vt:lpstr>
      <vt:lpstr>'BTA 7º PER. JULHO 2026'!Print_Titles_0_0_0_0_0_0_0_0_0_0_0_0_0_0_0_0_0_0_0_0_0_0_0_0_0_0_0_0_0_0_0_0_0_0_0_0_0_0_0_0_0_0_0</vt:lpstr>
      <vt:lpstr>'BTA 7º PER. JULHO 2026'!Print_Titles_0_0_0_0_0_0_0_0_0_0_0_0_0_0_0_0_0_0_0_0_0_0_0_0_0_0_0_0_0_0_0_0_0_0_0_0_0_0_0_0_0_0_0_0</vt:lpstr>
      <vt:lpstr>'BTA 7º PER. JULHO 2026'!Print_Titles_0_0_0_0_0_0_0_0_0_0_0_0_0_0_0_0_0_0_0_0_0_0_0_0_0_0_0_0_0_0_0_0_0_0_0_0_0_0_0_0_0_0_0_0_0</vt:lpstr>
      <vt:lpstr>'BTA 7º PER. JULHO 2026'!Print_Titles_0_0_0_0_0_0_0_0_0_0_0_0_0_0_0_0_0_0_0_0_0_0_0_0_0_0_0_0_0_0_0_0_0_0_0_0_0_0_0_0_0_0_0_0_0_0</vt:lpstr>
      <vt:lpstr>'BTA 7º PER. JULHO 2026'!Print_Titles_0_0_0_0_0_0_0_0_0_0_0_0_0_0_0_0_0_0_0_0_0_0_0_0_0_0_0_0_0_0_0_0_0_0_0_0_0_0_0_0_0_0_0_0_0_0_0</vt:lpstr>
      <vt:lpstr>'BTA 7º PER. JULHO 2026'!Print_Titles_0_0_0_0_0_0_0_0_0_0_0_0_0_0_0_0_0_0_0_0_0_0_0_0_0_0_0_0_0_0_0_0_0_0_0_0_0_0_0_0_0_0_0_0_0_0_0_0</vt:lpstr>
      <vt:lpstr>'BTA 7º PER. JULHO 2026'!Print_Titles_0_0_0_0_0_0_0_0_0_0_0_0_0_0_0_0_0_0_0_0_0_0_0_0_0_0_0_0_0_0_0_0_0_0_0_0_0_0_0_0_0_0_0_0_0_0_0_0_0</vt:lpstr>
      <vt:lpstr>'BTA 7º PER. JULHO 2026'!Print_Titles_0_0_0_0_0_0_0_0_0_0_0_0_0_0_0_0_0_0_0_0_0_0_0_0_0_0_0_0_0_0_0_0_0_0_0_0_0_0_0_0_0_0_0_0_0_0_0_0_0_0</vt:lpstr>
      <vt:lpstr>'BTA 7º PER. JULHO 2026'!Print_Titles_0_0_0_0_0_0_0_0_0_0_0_0_0_0_0_0_0_0_0_0_0_0_0_0_0_0_0_0_0_0_0_0_0_0_0_0_0_0_0_0_0_0_0_0_0_0_0_0_0_0_0</vt:lpstr>
      <vt:lpstr>'BTA 7º PER. JULHO 2026'!Print_Titles_0_0_0_0_0_0_0_0_0_0_0_0_0_0_0_0_0_0_0_0_0_0_0_0_0_0_0_0_0_0_0_0_0_0_0_0_0_0_0_0_0_0_0_0_0_0_0_0_0_0_0_0</vt:lpstr>
      <vt:lpstr>'BTA 7º PER. JULHO 2026'!Print_Titles_0_0_0_0_0_0_0_0_0_0_0_0_0_0_0_0_0_0_0_0_0_0_0_0_0_0_0_0_0_0_0_0_0_0_0_0_0_0_0_0_0_0_0_0_0_0_0_0_0_0_0_0_0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2026'!Print_Titles_0_0_0_0_0_0_0_0_0_0_0_0_0_0_0_0_0_0_0_0_0_0_0_0_0_0_0_0_0_0_0_0_0_0_0_0_0_0_0_0_0_0_0_0_0_0_0_0_0_0_0_0_0_0_0_0_0_0_0_0_0_0_0_0_0_0_0_0_0_0_0_0_0_0_0_0_0_0_0_0_0_0</vt:lpstr>
      <vt:lpstr>'BTA 7º PER. JULHO 2026'!Print_Titles_0_0_0_0_0_0_0_0_0_0_0_0_0_0_0_0_0_0_0_0_0_0_0_0_0_0_0_0_0_0_0_0_0_0_0_0_0_0_0_0_0_0_0_0_0_0_0_0_0_0_0_0_0_0_0_0_0_0_0_0_0_0_0_0_0_0_0_0_0_0_0_0_0_0_0_0_0_0_0_0_0_0_0</vt:lpstr>
      <vt:lpstr>'BTA 7º PER. JULHO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Nara Ney De Souza Felix</cp:lastModifiedBy>
  <cp:lastPrinted>2026-08-07T15:02:41Z</cp:lastPrinted>
  <dcterms:created xsi:type="dcterms:W3CDTF">2023-11-29T12:56:37Z</dcterms:created>
  <dcterms:modified xsi:type="dcterms:W3CDTF">2026-08-07T15:05:02Z</dcterms:modified>
</cp:coreProperties>
</file>