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JULHO\"/>
    </mc:Choice>
  </mc:AlternateContent>
  <bookViews>
    <workbookView xWindow="0" yWindow="0" windowWidth="28800" windowHeight="12435"/>
  </bookViews>
  <sheets>
    <sheet name="BTA 5º PER. JULHO 2026" sheetId="1" r:id="rId1"/>
  </sheets>
  <definedNames>
    <definedName name="_xlnm.Print_Area" localSheetId="0">'BTA 5º PER. JULHO 2026'!$A$1:$L$82</definedName>
    <definedName name="Print_Titles_0" localSheetId="0">'BTA 5º PER. JULHO 2026'!$1:$6</definedName>
    <definedName name="Print_Titles_0_0" localSheetId="0">'BTA 5º PER. JULHO 2026'!$1:$6</definedName>
    <definedName name="Print_Titles_0_0_0" localSheetId="0">'BTA 5º PER. JULHO 2026'!$1:$6</definedName>
    <definedName name="Print_Titles_0_0_0_0" localSheetId="0">'BTA 5º PER. JULHO 2026'!$1:$6</definedName>
    <definedName name="Print_Titles_0_0_0_0_0" localSheetId="0">'BTA 5º PER. JULHO 2026'!$1:$6</definedName>
    <definedName name="Print_Titles_0_0_0_0_0_0" localSheetId="0">'BTA 5º PER. JULHO 2026'!$1:$6</definedName>
    <definedName name="Print_Titles_0_0_0_0_0_0_0" localSheetId="0">'BTA 5º PER. JULHO 2026'!$1:$6</definedName>
    <definedName name="Print_Titles_0_0_0_0_0_0_0_0" localSheetId="0">'BTA 5º PER. JULHO 2026'!$1:$6</definedName>
    <definedName name="Print_Titles_0_0_0_0_0_0_0_0_0" localSheetId="0">'BTA 5º PER. JULHO 2026'!$1:$6</definedName>
    <definedName name="Print_Titles_0_0_0_0_0_0_0_0_0_0" localSheetId="0">'BTA 5º PER. JULHO 2026'!$1:$6</definedName>
    <definedName name="Print_Titles_0_0_0_0_0_0_0_0_0_0_0" localSheetId="0">'BTA 5º PER. JULHO 2026'!$1:$6</definedName>
    <definedName name="Print_Titles_0_0_0_0_0_0_0_0_0_0_0_0" localSheetId="0">'BTA 5º PER. JULHO 2026'!$1:$6</definedName>
    <definedName name="Print_Titles_0_0_0_0_0_0_0_0_0_0_0_0_0" localSheetId="0">'BTA 5º PER. JULHO 2026'!$1:$6</definedName>
    <definedName name="Print_Titles_0_0_0_0_0_0_0_0_0_0_0_0_0_0" localSheetId="0">'BTA 5º PER. JULHO 2026'!$1:$6</definedName>
    <definedName name="Print_Titles_0_0_0_0_0_0_0_0_0_0_0_0_0_0_0" localSheetId="0">'BTA 5º PER. JULHO 2026'!$1:$6</definedName>
    <definedName name="Print_Titles_0_0_0_0_0_0_0_0_0_0_0_0_0_0_0_0" localSheetId="0">'BTA 5º PER. JULHO 2026'!$1:$6</definedName>
    <definedName name="Print_Titles_0_0_0_0_0_0_0_0_0_0_0_0_0_0_0_0_0" localSheetId="0">'BTA 5º PER. JULHO 2026'!$1:$6</definedName>
    <definedName name="Print_Titles_0_0_0_0_0_0_0_0_0_0_0_0_0_0_0_0_0_0" localSheetId="0">'BTA 5º PER. JULHO 2026'!$1:$6</definedName>
    <definedName name="Print_Titles_0_0_0_0_0_0_0_0_0_0_0_0_0_0_0_0_0_0_0" localSheetId="0">'BTA 5º PER. JULHO 2026'!$1:$6</definedName>
    <definedName name="Print_Titles_0_0_0_0_0_0_0_0_0_0_0_0_0_0_0_0_0_0_0_0" localSheetId="0">'BTA 5º PER. JULHO 2026'!$1:$6</definedName>
    <definedName name="Print_Titles_0_0_0_0_0_0_0_0_0_0_0_0_0_0_0_0_0_0_0_0_0" localSheetId="0">'BTA 5º PER. JULHO 2026'!$1:$6</definedName>
    <definedName name="Print_Titles_0_0_0_0_0_0_0_0_0_0_0_0_0_0_0_0_0_0_0_0_0_0" localSheetId="0">'BTA 5º PER. JULHO 2026'!$1:$6</definedName>
    <definedName name="Print_Titles_0_0_0_0_0_0_0_0_0_0_0_0_0_0_0_0_0_0_0_0_0_0_0" localSheetId="0">'BTA 5º PER. JULHO 2026'!$1:$6</definedName>
    <definedName name="Print_Titles_0_0_0_0_0_0_0_0_0_0_0_0_0_0_0_0_0_0_0_0_0_0_0_0" localSheetId="0">'BTA 5º PER. JULHO 2026'!$1:$6</definedName>
    <definedName name="Print_Titles_0_0_0_0_0_0_0_0_0_0_0_0_0_0_0_0_0_0_0_0_0_0_0_0_0" localSheetId="0">'BTA 5º PER. JULHO 2026'!$1:$6</definedName>
    <definedName name="Print_Titles_0_0_0_0_0_0_0_0_0_0_0_0_0_0_0_0_0_0_0_0_0_0_0_0_0_0" localSheetId="0">'BTA 5º PER. JULHO 2026'!$1:$6</definedName>
    <definedName name="Print_Titles_0_0_0_0_0_0_0_0_0_0_0_0_0_0_0_0_0_0_0_0_0_0_0_0_0_0_0" localSheetId="0">'BTA 5º PER. JULHO 2026'!$1:$6</definedName>
    <definedName name="Print_Titles_0_0_0_0_0_0_0_0_0_0_0_0_0_0_0_0_0_0_0_0_0_0_0_0_0_0_0_0" localSheetId="0">'BTA 5º PER. JULHO 2026'!$1:$6</definedName>
    <definedName name="Print_Titles_0_0_0_0_0_0_0_0_0_0_0_0_0_0_0_0_0_0_0_0_0_0_0_0_0_0_0_0_0" localSheetId="0">'BTA 5º PER. JULHO 2026'!$1:$6</definedName>
    <definedName name="Print_Titles_0_0_0_0_0_0_0_0_0_0_0_0_0_0_0_0_0_0_0_0_0_0_0_0_0_0_0_0_0_0" localSheetId="0">'BTA 5º PER. JULHO 2026'!$1:$6</definedName>
    <definedName name="Print_Titles_0_0_0_0_0_0_0_0_0_0_0_0_0_0_0_0_0_0_0_0_0_0_0_0_0_0_0_0_0_0_0" localSheetId="0">'BTA 5º PER. JULHO 2026'!$1:$6</definedName>
    <definedName name="Print_Titles_0_0_0_0_0_0_0_0_0_0_0_0_0_0_0_0_0_0_0_0_0_0_0_0_0_0_0_0_0_0_0_0" localSheetId="0">'BTA 5º PER. JULHO 2026'!$1:$6</definedName>
    <definedName name="Print_Titles_0_0_0_0_0_0_0_0_0_0_0_0_0_0_0_0_0_0_0_0_0_0_0_0_0_0_0_0_0_0_0_0_0" localSheetId="0">'BTA 5º PER. JULHO 2026'!$1:$6</definedName>
    <definedName name="Print_Titles_0_0_0_0_0_0_0_0_0_0_0_0_0_0_0_0_0_0_0_0_0_0_0_0_0_0_0_0_0_0_0_0_0_0" localSheetId="0">'BTA 5º PER. JULHO 2026'!$1:$6</definedName>
    <definedName name="Print_Titles_0_0_0_0_0_0_0_0_0_0_0_0_0_0_0_0_0_0_0_0_0_0_0_0_0_0_0_0_0_0_0_0_0_0_0" localSheetId="0">'BTA 5º PER. JULHO 2026'!$1:$6</definedName>
    <definedName name="Print_Titles_0_0_0_0_0_0_0_0_0_0_0_0_0_0_0_0_0_0_0_0_0_0_0_0_0_0_0_0_0_0_0_0_0_0_0_0" localSheetId="0">'BTA 5º PER. JULHO 2026'!$1:$6</definedName>
    <definedName name="Print_Titles_0_0_0_0_0_0_0_0_0_0_0_0_0_0_0_0_0_0_0_0_0_0_0_0_0_0_0_0_0_0_0_0_0_0_0_0_0" localSheetId="0">'BTA 5º PER. JULHO 2026'!$1:$6</definedName>
    <definedName name="Print_Titles_0_0_0_0_0_0_0_0_0_0_0_0_0_0_0_0_0_0_0_0_0_0_0_0_0_0_0_0_0_0_0_0_0_0_0_0_0_0" localSheetId="0">'BTA 5º PER. JULHO 2026'!$1:$6</definedName>
    <definedName name="Print_Titles_0_0_0_0_0_0_0_0_0_0_0_0_0_0_0_0_0_0_0_0_0_0_0_0_0_0_0_0_0_0_0_0_0_0_0_0_0_0_0" localSheetId="0">'BTA 5º PER. JULHO 2026'!$1:$6</definedName>
    <definedName name="Print_Titles_0_0_0_0_0_0_0_0_0_0_0_0_0_0_0_0_0_0_0_0_0_0_0_0_0_0_0_0_0_0_0_0_0_0_0_0_0_0_0_0" localSheetId="0">'BTA 5º PER. JULHO 2026'!$1:$6</definedName>
    <definedName name="Print_Titles_0_0_0_0_0_0_0_0_0_0_0_0_0_0_0_0_0_0_0_0_0_0_0_0_0_0_0_0_0_0_0_0_0_0_0_0_0_0_0_0_0" localSheetId="0">'BTA 5º PER. JULHO 2026'!$1:$6</definedName>
    <definedName name="Print_Titles_0_0_0_0_0_0_0_0_0_0_0_0_0_0_0_0_0_0_0_0_0_0_0_0_0_0_0_0_0_0_0_0_0_0_0_0_0_0_0_0_0_0" localSheetId="0">'BTA 5º PER. JULHO 2026'!$1:$6</definedName>
    <definedName name="Print_Titles_0_0_0_0_0_0_0_0_0_0_0_0_0_0_0_0_0_0_0_0_0_0_0_0_0_0_0_0_0_0_0_0_0_0_0_0_0_0_0_0_0_0_0" localSheetId="0">'BTA 5º PER. JULHO 2026'!$1:$6</definedName>
    <definedName name="Print_Titles_0_0_0_0_0_0_0_0_0_0_0_0_0_0_0_0_0_0_0_0_0_0_0_0_0_0_0_0_0_0_0_0_0_0_0_0_0_0_0_0_0_0_0_0" localSheetId="0">'BTA 5º PER. JULHO 2026'!$1:$6</definedName>
    <definedName name="Print_Titles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_0_0" localSheetId="0">'BTA 5º PER. JULHO 2026'!$1:$6</definedName>
    <definedName name="_xlnm.Print_Titles" localSheetId="0">'BTA 5º PER. JULHO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<sst xmlns="http://schemas.openxmlformats.org/spreadsheetml/2006/main" count="140" uniqueCount="95">
  <si>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</si>
  <si>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</si>
  <si>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</si>
  <si>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</si>
  <si>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</si>
  <si>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</si>
  <si>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</si>
  <si>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</si>
  <si>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</si>
  <si>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</si>
  <si>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</si>
  <si>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</si>
  <si>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</si>
  <si>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</si>
  <si>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</si>
  <si>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</si>
  <si>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</si>
  <si>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</si>
  <si>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</si>
  <si>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</si>
  <si>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</si>
  <si>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</si>
  <si>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</si>
  <si>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</si>
  <si>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</si>
  <si>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</si>
  <si>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</si>
  <si>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</si>
  <si>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</si>
  <si>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</si>
  <si>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</si>
  <si>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</si>
  <si>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</si>
  <si>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</si>
  <si>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</si>
  <si>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</si>
  <si>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</si>
  <si>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</si>
  <si>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</si>
  <si>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</si>
  <si>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</si>
  <si>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</si>
  <si>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</si>
  <si>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</si>
  <si>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</si>
  <si>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</si>
  <si>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</si>
  <si>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</si>
  <si>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</si>
  <si>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</si>
  <si>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</si>
  <si>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</si>
  <si>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</si>
  <si>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</si>
  <si>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</si>
  <si>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</si>
  <si>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</si>
  <si>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</si>
  <si>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</si>
  <si>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</si>
  <si>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</si>
  <si>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</si>
  <si>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</si>
  <si>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</si>
  <si>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</si>
  <si>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</si>
  <si>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</si>
  <si>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</si>
  <si>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</si>
  <si>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</si>
  <si>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</si>
  <si>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</si>
  <si>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</si>
  <si>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</si>
  <si>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</si>
  <si>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</si>
  <si>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</si>
  <si>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</si>
  <si>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</si>
  <si>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</si>
  <si>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</si>
  <si>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</si>
  <si>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</si>
  <si>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</si>
  <si>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</si>
  <si>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</si>
  <si>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</si>
  <si>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</si>
  <si>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</si>
  <si>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</si>
  <si>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</si>
  <si>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</si>
  <si>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Período: 6º JUL/2026 – 24/07/2026 A 30/07/2026</t>
  </si>
  <si>
    <t xml:space="preserve"> 03/08/2026</t>
  </si>
  <si>
    <t>PROCESSO SEI  22101.010307/2026.61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</si>
</sst>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8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164" fontId="3" fillId="0" borderId="0" xfId="1" applyBorder="1" applyProtection="1">
      <protection locked="0"/>
    </xf>
    <xf numFmtId="164" fontId="4" fillId="0" borderId="0" xfId="0" applyNumberFormat="1" applyFont="1" applyProtection="1">
      <protection locked="0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M29" sqref="M29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5" width="9.140625" style="3" customWidth="1"/>
    <col min="16" max="16" width="13.28515625" style="3" bestFit="1" customWidth="1"/>
    <col min="17" max="17" width="14.28515625" style="3" bestFit="1" customWidth="1"/>
    <col min="18" max="18" width="17.5703125" style="160" customWidth="1"/>
    <col min="19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90" t="s">
        <v>94</v>
      </c>
      <c r="K1" s="191"/>
      <c r="L1" s="191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91"/>
      <c r="K2" s="191"/>
      <c r="L2" s="191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91"/>
      <c r="K3" s="191"/>
      <c r="L3" s="191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92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</row>
    <row r="6" spans="1:12" ht="14.1" customHeight="1" thickTop="1" x14ac:dyDescent="0.25">
      <c r="A6" s="5" t="s">
        <v>92</v>
      </c>
      <c r="B6" s="6"/>
      <c r="C6" s="6"/>
      <c r="D6" s="6"/>
      <c r="I6" s="6"/>
      <c r="J6" s="193" t="s">
        <v>90</v>
      </c>
      <c r="K6" s="193"/>
      <c r="L6" s="131" t="s">
        <v>93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94" t="s">
        <v>7</v>
      </c>
      <c r="B9" s="194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9618734.8200000003</v>
      </c>
      <c r="D10" s="14">
        <f>SUM(D11:D14)</f>
        <v>0</v>
      </c>
      <c r="E10" s="14">
        <f>SUM(E11:E14)</f>
        <v>9618734.8200000003</v>
      </c>
      <c r="G10" s="15" t="s">
        <v>17</v>
      </c>
      <c r="H10" s="16"/>
      <c r="I10" s="15"/>
      <c r="J10" s="17">
        <f>SUM(J11:J12)</f>
        <v>3840003.69</v>
      </c>
      <c r="K10" s="17">
        <f>SUM(K11:K12)</f>
        <v>2207.61</v>
      </c>
      <c r="L10" s="17">
        <f>SUM(L11:L12)</f>
        <v>3837796.08</v>
      </c>
    </row>
    <row r="11" spans="1:12" ht="14.1" customHeight="1" x14ac:dyDescent="0.25">
      <c r="A11" s="18"/>
      <c r="B11" s="19" t="s">
        <v>18</v>
      </c>
      <c r="C11" s="20">
        <v>9398362.0099999998</v>
      </c>
      <c r="D11" s="20">
        <v>0</v>
      </c>
      <c r="E11" s="21">
        <f t="shared" ref="E11:E14" si="0">C11-D11</f>
        <v>9398362.0099999998</v>
      </c>
      <c r="G11" s="22"/>
      <c r="H11" s="23" t="s">
        <v>19</v>
      </c>
      <c r="I11" s="24">
        <v>0.25</v>
      </c>
      <c r="J11" s="25">
        <f>ROUND(C10*I11,2)</f>
        <v>2404683.71</v>
      </c>
      <c r="K11" s="25">
        <f>ROUND(D10*0.25,2)</f>
        <v>0</v>
      </c>
      <c r="L11" s="25">
        <f t="shared" ref="L11:L26" si="1">J11-K11</f>
        <v>2404683.71</v>
      </c>
    </row>
    <row r="12" spans="1:12" ht="14.1" customHeight="1" x14ac:dyDescent="0.25">
      <c r="A12" s="18"/>
      <c r="B12" s="26" t="s">
        <v>20</v>
      </c>
      <c r="C12" s="27">
        <v>28746.92</v>
      </c>
      <c r="D12" s="27">
        <v>0</v>
      </c>
      <c r="E12" s="28">
        <f t="shared" si="0"/>
        <v>28746.92</v>
      </c>
      <c r="F12" s="29"/>
      <c r="G12" s="22"/>
      <c r="H12" s="30" t="s">
        <v>21</v>
      </c>
      <c r="I12" s="31">
        <v>0.5</v>
      </c>
      <c r="J12" s="32">
        <f>ROUND(C15*I12,2)</f>
        <v>1435319.98</v>
      </c>
      <c r="K12" s="32">
        <f>ROUND(D15*0.5,2)</f>
        <v>2207.61</v>
      </c>
      <c r="L12" s="32">
        <f t="shared" si="1"/>
        <v>1433112.3699999999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1753246.8699999999</v>
      </c>
      <c r="K13" s="36">
        <f>SUM(K14:K16)</f>
        <v>4041.52</v>
      </c>
      <c r="L13" s="36">
        <f t="shared" si="1"/>
        <v>1749205.3499999999</v>
      </c>
    </row>
    <row r="14" spans="1:12" ht="14.1" customHeight="1" thickBot="1" x14ac:dyDescent="0.3">
      <c r="A14" s="18"/>
      <c r="B14" s="37" t="s">
        <v>24</v>
      </c>
      <c r="C14" s="38">
        <v>191625.89</v>
      </c>
      <c r="D14" s="39">
        <v>0</v>
      </c>
      <c r="E14" s="40">
        <f t="shared" si="0"/>
        <v>191625.89</v>
      </c>
      <c r="G14" s="22"/>
      <c r="H14" s="22" t="s">
        <v>25</v>
      </c>
      <c r="I14" s="41">
        <v>0.2</v>
      </c>
      <c r="J14" s="42">
        <f>ROUND((C10-J11)*I14,2)</f>
        <v>1442810.22</v>
      </c>
      <c r="K14" s="42">
        <f>ROUND((D10-K11)*0.2,2)</f>
        <v>0</v>
      </c>
      <c r="L14" s="42">
        <f t="shared" si="1"/>
        <v>1442810.22</v>
      </c>
    </row>
    <row r="15" spans="1:12" ht="14.1" customHeight="1" thickBot="1" x14ac:dyDescent="0.3">
      <c r="A15" s="12" t="s">
        <v>26</v>
      </c>
      <c r="B15" s="43"/>
      <c r="C15" s="14">
        <f>SUM(C16:C30)</f>
        <v>2870639.9499999993</v>
      </c>
      <c r="D15" s="14">
        <f>SUM(D16:D30)</f>
        <v>4415.21</v>
      </c>
      <c r="E15" s="14">
        <f>SUM(E16:E30)</f>
        <v>2866224.7399999993</v>
      </c>
      <c r="G15" s="22"/>
      <c r="H15" s="30" t="s">
        <v>27</v>
      </c>
      <c r="I15" s="31">
        <v>0.2</v>
      </c>
      <c r="J15" s="32">
        <f>ROUND((C15-J12)*I15,2)</f>
        <v>287063.99</v>
      </c>
      <c r="K15" s="32">
        <f>ROUND((D15/2)*0.2,2)</f>
        <v>441.52</v>
      </c>
      <c r="L15" s="32">
        <f t="shared" si="1"/>
        <v>286622.46999999997</v>
      </c>
    </row>
    <row r="16" spans="1:12" ht="14.1" customHeight="1" x14ac:dyDescent="0.25">
      <c r="A16" s="18"/>
      <c r="B16" s="45" t="s">
        <v>28</v>
      </c>
      <c r="C16" s="46">
        <v>13895.84</v>
      </c>
      <c r="D16" s="46">
        <v>0</v>
      </c>
      <c r="E16" s="21">
        <f t="shared" ref="E16:E32" si="2">C16-D16</f>
        <v>13895.84</v>
      </c>
      <c r="G16" s="22"/>
      <c r="H16" s="22" t="s">
        <v>29</v>
      </c>
      <c r="I16" s="41">
        <v>0.2</v>
      </c>
      <c r="J16" s="42">
        <f>ROUND(C32*I16,2)</f>
        <v>23372.66</v>
      </c>
      <c r="K16" s="42">
        <f>ROUND(D32*0.2,2)</f>
        <v>3600</v>
      </c>
      <c r="L16" s="42">
        <f t="shared" si="1"/>
        <v>19772.66</v>
      </c>
    </row>
    <row r="17" spans="1:1020" ht="14.1" customHeight="1" thickBot="1" x14ac:dyDescent="0.3">
      <c r="A17" s="18"/>
      <c r="B17" s="26" t="s">
        <v>30</v>
      </c>
      <c r="C17" s="27">
        <v>6660.47</v>
      </c>
      <c r="D17" s="27">
        <v>0</v>
      </c>
      <c r="E17" s="28">
        <f t="shared" si="2"/>
        <v>6660.47</v>
      </c>
      <c r="G17" s="33" t="s">
        <v>31</v>
      </c>
      <c r="H17" s="34"/>
      <c r="I17" s="35"/>
      <c r="J17" s="36">
        <f>SUM(J18:J21)</f>
        <v>6007497.9299999997</v>
      </c>
      <c r="K17" s="36">
        <f>SUM(K18:K21)</f>
        <v>1010.38</v>
      </c>
      <c r="L17" s="36">
        <f t="shared" si="1"/>
        <v>6006487.5499999998</v>
      </c>
    </row>
    <row r="18" spans="1:1020" ht="14.1" customHeight="1" x14ac:dyDescent="0.25">
      <c r="A18" s="18"/>
      <c r="B18" s="26" t="s">
        <v>32</v>
      </c>
      <c r="C18" s="27">
        <v>2711535.77</v>
      </c>
      <c r="D18" s="27">
        <v>4415.21</v>
      </c>
      <c r="E18" s="28">
        <f t="shared" si="2"/>
        <v>2707120.56</v>
      </c>
      <c r="G18" s="22"/>
      <c r="H18" s="22" t="s">
        <v>33</v>
      </c>
      <c r="I18" s="41">
        <v>0.05</v>
      </c>
      <c r="J18" s="42">
        <f>ROUND((C10-J11)*I18,2)</f>
        <v>360702.56</v>
      </c>
      <c r="K18" s="42">
        <f>ROUND((D10*0.75)*0.05,2)</f>
        <v>0</v>
      </c>
      <c r="L18" s="42">
        <f t="shared" si="1"/>
        <v>360702.56</v>
      </c>
    </row>
    <row r="19" spans="1:1020" ht="14.1" customHeight="1" x14ac:dyDescent="0.25">
      <c r="A19" s="18"/>
      <c r="B19" s="26" t="s">
        <v>34</v>
      </c>
      <c r="C19" s="27">
        <v>11071.57</v>
      </c>
      <c r="D19" s="27">
        <v>0</v>
      </c>
      <c r="E19" s="28">
        <f t="shared" si="2"/>
        <v>11071.57</v>
      </c>
      <c r="G19" s="22"/>
      <c r="H19" s="30" t="s">
        <v>35</v>
      </c>
      <c r="I19" s="31">
        <v>0.25</v>
      </c>
      <c r="J19" s="32">
        <f>ROUND(C31*I19,2)</f>
        <v>5569186.21</v>
      </c>
      <c r="K19" s="32">
        <f>ROUND(D31*0.25,2)</f>
        <v>0</v>
      </c>
      <c r="L19" s="32">
        <f t="shared" si="1"/>
        <v>5569186.21</v>
      </c>
    </row>
    <row r="20" spans="1:1020" ht="14.1" customHeight="1" x14ac:dyDescent="0.25">
      <c r="A20" s="18"/>
      <c r="B20" s="26" t="s">
        <v>36</v>
      </c>
      <c r="C20" s="27">
        <v>8648.64</v>
      </c>
      <c r="D20" s="27">
        <v>0</v>
      </c>
      <c r="E20" s="28">
        <f t="shared" si="2"/>
        <v>8648.64</v>
      </c>
      <c r="G20" s="22"/>
      <c r="H20" s="30" t="s">
        <v>37</v>
      </c>
      <c r="I20" s="31">
        <v>0.05</v>
      </c>
      <c r="J20" s="32">
        <f>ROUND((C15-J12)*I20,2)</f>
        <v>71766</v>
      </c>
      <c r="K20" s="32">
        <f>ROUND((D15/2)*0.05,2)</f>
        <v>110.38</v>
      </c>
      <c r="L20" s="32">
        <f t="shared" si="1"/>
        <v>71655.62</v>
      </c>
    </row>
    <row r="21" spans="1:1020" ht="14.1" customHeight="1" x14ac:dyDescent="0.25">
      <c r="A21" s="18"/>
      <c r="B21" s="26" t="s">
        <v>38</v>
      </c>
      <c r="C21" s="27">
        <v>6819.61</v>
      </c>
      <c r="D21" s="27">
        <v>0</v>
      </c>
      <c r="E21" s="28">
        <f t="shared" si="2"/>
        <v>6819.61</v>
      </c>
      <c r="G21" s="22"/>
      <c r="H21" s="22" t="s">
        <v>39</v>
      </c>
      <c r="I21" s="41">
        <v>0.05</v>
      </c>
      <c r="J21" s="42">
        <f>ROUND(C32*I21,2)</f>
        <v>5843.16</v>
      </c>
      <c r="K21" s="42">
        <f>ROUND(D32*0.05,2)</f>
        <v>900</v>
      </c>
      <c r="L21" s="42">
        <f t="shared" si="1"/>
        <v>4943.16</v>
      </c>
    </row>
    <row r="22" spans="1:1020" ht="14.1" customHeight="1" thickBot="1" x14ac:dyDescent="0.3">
      <c r="A22" s="18"/>
      <c r="B22" s="26" t="s">
        <v>40</v>
      </c>
      <c r="C22" s="27">
        <v>19461.84</v>
      </c>
      <c r="D22" s="27">
        <v>0</v>
      </c>
      <c r="E22" s="28">
        <f t="shared" si="2"/>
        <v>19461.84</v>
      </c>
      <c r="G22" s="33" t="s">
        <v>41</v>
      </c>
      <c r="H22" s="34"/>
      <c r="I22" s="47"/>
      <c r="J22" s="36">
        <f>SUM(J23:J26)</f>
        <v>3725157.4999999995</v>
      </c>
      <c r="K22" s="36">
        <f>SUM(K23:K26)</f>
        <v>2424.91</v>
      </c>
      <c r="L22" s="36">
        <f t="shared" si="1"/>
        <v>3722732.5899999994</v>
      </c>
    </row>
    <row r="23" spans="1:1020" ht="14.1" customHeight="1" x14ac:dyDescent="0.25">
      <c r="A23" s="18"/>
      <c r="B23" s="26" t="s">
        <v>42</v>
      </c>
      <c r="C23" s="27">
        <v>5348.55</v>
      </c>
      <c r="D23" s="27">
        <v>0</v>
      </c>
      <c r="E23" s="28">
        <f t="shared" si="2"/>
        <v>5348.55</v>
      </c>
      <c r="G23" s="22"/>
      <c r="H23" s="22" t="s">
        <v>43</v>
      </c>
      <c r="I23" s="41">
        <v>0.12</v>
      </c>
      <c r="J23" s="42">
        <f>ROUND((C10-J11)*I23,2)</f>
        <v>865686.13</v>
      </c>
      <c r="K23" s="42">
        <f>ROUND(D10*0.75*I23,2)</f>
        <v>0</v>
      </c>
      <c r="L23" s="42">
        <f t="shared" si="1"/>
        <v>865686.13</v>
      </c>
    </row>
    <row r="24" spans="1:1020" ht="14.1" customHeight="1" x14ac:dyDescent="0.25">
      <c r="A24" s="18"/>
      <c r="B24" s="26" t="s">
        <v>44</v>
      </c>
      <c r="C24" s="27">
        <v>21231.32</v>
      </c>
      <c r="D24" s="27">
        <v>0</v>
      </c>
      <c r="E24" s="28">
        <f t="shared" si="2"/>
        <v>21231.32</v>
      </c>
      <c r="G24" s="22"/>
      <c r="H24" s="30" t="s">
        <v>45</v>
      </c>
      <c r="I24" s="31">
        <v>0.12</v>
      </c>
      <c r="J24" s="32">
        <f>ROUND(C31*I24,2)</f>
        <v>2673209.38</v>
      </c>
      <c r="K24" s="32">
        <f>ROUND(D31*I24,2)</f>
        <v>0</v>
      </c>
      <c r="L24" s="32">
        <f t="shared" si="1"/>
        <v>2673209.38</v>
      </c>
    </row>
    <row r="25" spans="1:1020" ht="14.1" customHeight="1" x14ac:dyDescent="0.25">
      <c r="A25" s="18"/>
      <c r="B25" s="26" t="s">
        <v>46</v>
      </c>
      <c r="C25" s="27">
        <v>1463.1</v>
      </c>
      <c r="D25" s="27">
        <v>0</v>
      </c>
      <c r="E25" s="28">
        <f t="shared" si="2"/>
        <v>1463.1</v>
      </c>
      <c r="G25" s="22"/>
      <c r="H25" s="30" t="s">
        <v>47</v>
      </c>
      <c r="I25" s="31">
        <v>0.12</v>
      </c>
      <c r="J25" s="32">
        <f>ROUND((C15-J12)*I25,2)</f>
        <v>172238.4</v>
      </c>
      <c r="K25" s="32">
        <f>ROUND((D15/2)*I25,2)</f>
        <v>264.91000000000003</v>
      </c>
      <c r="L25" s="32">
        <f t="shared" si="1"/>
        <v>171973.49</v>
      </c>
    </row>
    <row r="26" spans="1:1020" ht="14.1" customHeight="1" x14ac:dyDescent="0.25">
      <c r="A26" s="18"/>
      <c r="B26" s="26" t="s">
        <v>48</v>
      </c>
      <c r="C26" s="27">
        <v>12620.81</v>
      </c>
      <c r="D26" s="27">
        <v>0</v>
      </c>
      <c r="E26" s="28">
        <f t="shared" si="2"/>
        <v>12620.81</v>
      </c>
      <c r="G26" s="48"/>
      <c r="H26" s="48" t="s">
        <v>49</v>
      </c>
      <c r="I26" s="49">
        <v>0.12</v>
      </c>
      <c r="J26" s="50">
        <f>ROUND(C32*I26,2)</f>
        <v>14023.59</v>
      </c>
      <c r="K26" s="42">
        <f>ROUND(D32*I26,2)</f>
        <v>2160</v>
      </c>
      <c r="L26" s="42">
        <f t="shared" si="1"/>
        <v>11863.59</v>
      </c>
      <c r="Q26" s="160"/>
    </row>
    <row r="27" spans="1:1020" ht="14.1" customHeight="1" thickBot="1" x14ac:dyDescent="0.3">
      <c r="A27" s="18"/>
      <c r="B27" s="26" t="s">
        <v>50</v>
      </c>
      <c r="C27" s="27">
        <v>27064.57</v>
      </c>
      <c r="D27" s="27">
        <v>0</v>
      </c>
      <c r="E27" s="28">
        <f t="shared" si="2"/>
        <v>27064.57</v>
      </c>
      <c r="G27" s="33" t="s">
        <v>51</v>
      </c>
      <c r="H27" s="34"/>
      <c r="I27" s="34"/>
      <c r="J27" s="36">
        <f>J28+J32+J34</f>
        <v>19723952.98</v>
      </c>
      <c r="K27" s="36">
        <f>K28+K32+K34</f>
        <v>26370.16</v>
      </c>
      <c r="L27" s="36">
        <f>L28+L32+L34</f>
        <v>19697582.82</v>
      </c>
      <c r="Q27" s="160"/>
    </row>
    <row r="28" spans="1:1020" ht="14.1" customHeight="1" x14ac:dyDescent="0.25">
      <c r="A28" s="18"/>
      <c r="B28" s="26" t="s">
        <v>52</v>
      </c>
      <c r="C28" s="27">
        <v>7012.13</v>
      </c>
      <c r="D28" s="27">
        <v>0</v>
      </c>
      <c r="E28" s="28">
        <f t="shared" si="2"/>
        <v>7012.13</v>
      </c>
      <c r="G28" s="51" t="s">
        <v>53</v>
      </c>
      <c r="H28" s="52"/>
      <c r="I28" s="53"/>
      <c r="J28" s="54">
        <f>SUM(J29:J31)</f>
        <v>5522727.6600000001</v>
      </c>
      <c r="K28" s="54">
        <f>SUM(K29:K31)</f>
        <v>12730.79</v>
      </c>
      <c r="L28" s="54">
        <f>SUM(L29:L31)</f>
        <v>5509996.8700000001</v>
      </c>
      <c r="P28" s="7"/>
      <c r="Q28" s="160"/>
    </row>
    <row r="29" spans="1:1020" ht="14.1" customHeight="1" x14ac:dyDescent="0.25">
      <c r="A29" s="18"/>
      <c r="B29" s="26" t="s">
        <v>54</v>
      </c>
      <c r="C29" s="27">
        <v>17724.05</v>
      </c>
      <c r="D29" s="27">
        <v>0</v>
      </c>
      <c r="E29" s="28">
        <f t="shared" si="2"/>
        <v>17724.05</v>
      </c>
      <c r="G29" s="22"/>
      <c r="H29" s="22" t="s">
        <v>55</v>
      </c>
      <c r="I29" s="41">
        <f>IF(J29=0,0,J29/C10)</f>
        <v>0.47249999974528883</v>
      </c>
      <c r="J29" s="42">
        <f>C10-J11-J14-J18-J23</f>
        <v>4544852.2000000011</v>
      </c>
      <c r="K29" s="42">
        <f>ROUND(D10*I29,2)</f>
        <v>0</v>
      </c>
      <c r="L29" s="42">
        <f t="shared" ref="L29:L31" si="3">J29-K29</f>
        <v>4544852.2000000011</v>
      </c>
      <c r="Q29" s="160"/>
    </row>
    <row r="30" spans="1:1020" ht="14.1" customHeight="1" thickBot="1" x14ac:dyDescent="0.3">
      <c r="A30" s="18"/>
      <c r="B30" s="45" t="s">
        <v>56</v>
      </c>
      <c r="C30" s="46">
        <v>81.680000000000007</v>
      </c>
      <c r="D30" s="46">
        <v>0</v>
      </c>
      <c r="E30" s="21">
        <f t="shared" si="2"/>
        <v>81.680000000000007</v>
      </c>
      <c r="G30" s="48"/>
      <c r="H30" s="30" t="s">
        <v>57</v>
      </c>
      <c r="I30" s="31">
        <f>IF(J30=0,0,J30/C15)</f>
        <v>0.31499999851949373</v>
      </c>
      <c r="J30" s="32">
        <f>C15-J12-J15-J20-J25</f>
        <v>904251.57999999926</v>
      </c>
      <c r="K30" s="32">
        <f>ROUND(D15*I30,2)</f>
        <v>1390.79</v>
      </c>
      <c r="L30" s="32">
        <f t="shared" si="3"/>
        <v>902860.78999999922</v>
      </c>
      <c r="Q30" s="160"/>
    </row>
    <row r="31" spans="1:1020" ht="14.1" customHeight="1" thickBot="1" x14ac:dyDescent="0.3">
      <c r="A31" s="12" t="s">
        <v>58</v>
      </c>
      <c r="B31" s="43"/>
      <c r="C31" s="55">
        <v>22276744.82</v>
      </c>
      <c r="D31" s="55">
        <v>0</v>
      </c>
      <c r="E31" s="44">
        <f t="shared" si="2"/>
        <v>22276744.82</v>
      </c>
      <c r="G31" s="48"/>
      <c r="H31" s="30" t="s">
        <v>59</v>
      </c>
      <c r="I31" s="31">
        <f>IF(J31=0,0,J31/C32)</f>
        <v>0.63000006246615159</v>
      </c>
      <c r="J31" s="32">
        <f>C32-J16-J21-J26</f>
        <v>73623.87999999999</v>
      </c>
      <c r="K31" s="32">
        <f>ROUND(D32*I31,2)</f>
        <v>11340</v>
      </c>
      <c r="L31" s="32">
        <f t="shared" si="3"/>
        <v>62283.87999999999</v>
      </c>
      <c r="P31" s="160"/>
      <c r="Q31" s="160"/>
    </row>
    <row r="32" spans="1:1020" s="4" customFormat="1" ht="14.1" customHeight="1" thickBot="1" x14ac:dyDescent="0.3">
      <c r="A32" s="56" t="s">
        <v>60</v>
      </c>
      <c r="B32" s="57"/>
      <c r="C32" s="58">
        <v>116863.29</v>
      </c>
      <c r="D32" s="55">
        <v>18000</v>
      </c>
      <c r="E32" s="59">
        <f t="shared" si="2"/>
        <v>98863.29</v>
      </c>
      <c r="F32" s="3"/>
      <c r="G32" s="51" t="s">
        <v>64</v>
      </c>
      <c r="H32" s="63"/>
      <c r="I32" s="64"/>
      <c r="J32" s="65">
        <f>J33</f>
        <v>14034349.23</v>
      </c>
      <c r="K32" s="65">
        <f>K33</f>
        <v>0</v>
      </c>
      <c r="L32" s="65">
        <f>J32-K32</f>
        <v>14034349.23</v>
      </c>
      <c r="M32" s="3"/>
      <c r="N32" s="3"/>
      <c r="O32" s="3"/>
      <c r="P32" s="3"/>
      <c r="Q32" s="160"/>
      <c r="R32" s="16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19645.93</v>
      </c>
      <c r="D33" s="55">
        <v>6912.16</v>
      </c>
      <c r="E33" s="44">
        <f>C33-D33</f>
        <v>12733.77</v>
      </c>
      <c r="F33" s="3"/>
      <c r="G33" s="129"/>
      <c r="H33" s="126" t="s">
        <v>87</v>
      </c>
      <c r="I33" s="127">
        <f>IF(J33=0,0,J33/C31)</f>
        <v>0.62999999970372689</v>
      </c>
      <c r="J33" s="128">
        <f>C31-J19-J24</f>
        <v>14034349.23</v>
      </c>
      <c r="K33" s="128">
        <f>ROUND(D31*I33,2)</f>
        <v>0</v>
      </c>
      <c r="L33" s="128">
        <f>J33-K33</f>
        <v>14034349.23</v>
      </c>
      <c r="M33" s="3"/>
      <c r="N33" s="3"/>
      <c r="O33" s="3"/>
      <c r="P33" s="3"/>
      <c r="Q33" s="160"/>
      <c r="R33" s="16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147230.16</v>
      </c>
      <c r="D34" s="58">
        <v>6727.21</v>
      </c>
      <c r="E34" s="59">
        <f>C34-D34</f>
        <v>140502.95000000001</v>
      </c>
      <c r="G34" s="51" t="s">
        <v>61</v>
      </c>
      <c r="H34" s="63"/>
      <c r="I34" s="64"/>
      <c r="J34" s="125">
        <f>SUM(J35:J36)</f>
        <v>166876.09</v>
      </c>
      <c r="K34" s="125">
        <f>SUM(K35:K36)</f>
        <v>13639.369999999999</v>
      </c>
      <c r="L34" s="125">
        <f>J34-K34</f>
        <v>153236.72</v>
      </c>
      <c r="Q34" s="160"/>
    </row>
    <row r="35" spans="1:1020" ht="14.1" customHeight="1" thickBot="1" x14ac:dyDescent="0.3">
      <c r="A35" s="66"/>
      <c r="B35" s="67" t="s">
        <v>65</v>
      </c>
      <c r="C35" s="68">
        <f>C10+C15+C31+C32+C33+C34</f>
        <v>35049858.969999999</v>
      </c>
      <c r="D35" s="68">
        <f>D10+D15+D31+D32+D33+D34</f>
        <v>36054.58</v>
      </c>
      <c r="E35" s="68">
        <f>E10+E15+E31+E32+E33+E34</f>
        <v>35013804.390000001</v>
      </c>
      <c r="G35" s="48"/>
      <c r="H35" s="60" t="s">
        <v>88</v>
      </c>
      <c r="I35" s="61">
        <v>1</v>
      </c>
      <c r="J35" s="62">
        <f>C33</f>
        <v>19645.93</v>
      </c>
      <c r="K35" s="62">
        <f>D33</f>
        <v>6912.16</v>
      </c>
      <c r="L35" s="62">
        <f>J35-K35</f>
        <v>12733.77</v>
      </c>
      <c r="Q35" s="160"/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147230.16</v>
      </c>
      <c r="K36" s="32">
        <f>D34</f>
        <v>6727.21</v>
      </c>
      <c r="L36" s="32">
        <f>J36-K36</f>
        <v>140502.95000000001</v>
      </c>
      <c r="Q36" s="160"/>
    </row>
    <row r="37" spans="1:1020" ht="14.1" customHeight="1" thickBot="1" x14ac:dyDescent="0.3">
      <c r="A37" s="130"/>
      <c r="B37" s="195"/>
      <c r="C37" s="195"/>
      <c r="D37" s="195"/>
      <c r="E37" s="195"/>
      <c r="F37" s="195"/>
      <c r="G37" s="71" t="s">
        <v>66</v>
      </c>
      <c r="H37" s="71"/>
      <c r="I37" s="72"/>
      <c r="J37" s="73">
        <f>J27+J22+J17+J13+J10</f>
        <v>35049858.969999999</v>
      </c>
      <c r="K37" s="73">
        <f>K27+K22+K17+K13+K10</f>
        <v>36054.58</v>
      </c>
      <c r="L37" s="73">
        <f>L27+L22+L17+L13+L10</f>
        <v>35013804.390000001</v>
      </c>
    </row>
    <row r="38" spans="1:1020" ht="14.1" customHeight="1" x14ac:dyDescent="0.25">
      <c r="A38" s="163"/>
      <c r="B38" s="163"/>
      <c r="C38" s="4"/>
      <c r="D38" s="4"/>
      <c r="E38" s="4"/>
      <c r="Q38" s="197"/>
    </row>
    <row r="39" spans="1:1020" s="159" customFormat="1" ht="15.75" x14ac:dyDescent="0.25">
      <c r="A39" s="130"/>
      <c r="B39" s="164"/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74"/>
      <c r="Q39" s="74"/>
      <c r="R39" s="196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3"/>
      <c r="Q40" s="3"/>
      <c r="R40" s="160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4" t="s">
        <v>67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3"/>
      <c r="N41" s="3"/>
      <c r="O41" s="3"/>
      <c r="P41" s="3"/>
      <c r="Q41" s="3"/>
      <c r="R41" s="160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5" t="s">
        <v>68</v>
      </c>
      <c r="C42" s="178" t="s">
        <v>69</v>
      </c>
      <c r="D42" s="179"/>
      <c r="E42" s="179"/>
      <c r="F42" s="180"/>
      <c r="G42" s="178" t="s">
        <v>70</v>
      </c>
      <c r="H42" s="179"/>
      <c r="I42" s="179"/>
      <c r="J42" s="181" t="s">
        <v>71</v>
      </c>
      <c r="K42" s="181" t="s">
        <v>72</v>
      </c>
      <c r="L42" s="181" t="s">
        <v>73</v>
      </c>
      <c r="M42" s="3"/>
      <c r="N42" s="3"/>
      <c r="O42" s="3"/>
      <c r="P42" s="3"/>
      <c r="Q42" s="3"/>
      <c r="R42" s="16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6"/>
      <c r="C43" s="184" t="s">
        <v>74</v>
      </c>
      <c r="D43" s="186" t="s">
        <v>75</v>
      </c>
      <c r="E43" s="80" t="s">
        <v>68</v>
      </c>
      <c r="F43" s="81" t="s">
        <v>76</v>
      </c>
      <c r="G43" s="188" t="s">
        <v>77</v>
      </c>
      <c r="H43" s="80" t="s">
        <v>68</v>
      </c>
      <c r="I43" s="81" t="s">
        <v>76</v>
      </c>
      <c r="J43" s="182"/>
      <c r="K43" s="182"/>
      <c r="L43" s="182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7"/>
      <c r="C44" s="185"/>
      <c r="D44" s="187"/>
      <c r="E44" s="83" t="s">
        <v>78</v>
      </c>
      <c r="F44" s="84" t="s">
        <v>79</v>
      </c>
      <c r="G44" s="189"/>
      <c r="H44" s="83" t="s">
        <v>80</v>
      </c>
      <c r="I44" s="84" t="s">
        <v>81</v>
      </c>
      <c r="J44" s="183"/>
      <c r="K44" s="183"/>
      <c r="L44" s="183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103203.63</v>
      </c>
      <c r="E45" s="133">
        <f t="shared" ref="E45:E59" si="5">ROUND(D45*0.8,2)</f>
        <v>82562.899999999994</v>
      </c>
      <c r="F45" s="134">
        <f t="shared" ref="F45:F59" si="6">ROUND(D45*0.2,2)</f>
        <v>20640.73</v>
      </c>
      <c r="G45" s="135">
        <f t="shared" ref="G45:G59" si="7">ROUND(E16*0.5,2)</f>
        <v>6947.92</v>
      </c>
      <c r="H45" s="133">
        <f t="shared" ref="H45:H59" si="8">ROUND(G45*0.8,2)</f>
        <v>5558.34</v>
      </c>
      <c r="I45" s="134">
        <f t="shared" ref="I45:I59" si="9">ROUND(G45*0.2,2)</f>
        <v>1389.58</v>
      </c>
      <c r="J45" s="136">
        <f>D45+G45</f>
        <v>110151.55</v>
      </c>
      <c r="K45" s="137">
        <f>F45+I45</f>
        <v>22030.309999999998</v>
      </c>
      <c r="L45" s="136">
        <f>E45+H45</f>
        <v>88121.239999999991</v>
      </c>
      <c r="M45" s="123"/>
      <c r="N45" s="123"/>
      <c r="O45" s="123"/>
      <c r="P45" s="123"/>
      <c r="Q45" s="123"/>
      <c r="R45" s="160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55831.87</v>
      </c>
      <c r="E46" s="140">
        <f t="shared" si="5"/>
        <v>44665.5</v>
      </c>
      <c r="F46" s="141">
        <f t="shared" si="6"/>
        <v>11166.37</v>
      </c>
      <c r="G46" s="142">
        <f t="shared" si="7"/>
        <v>3330.24</v>
      </c>
      <c r="H46" s="140">
        <f t="shared" si="8"/>
        <v>2664.19</v>
      </c>
      <c r="I46" s="141">
        <f t="shared" si="9"/>
        <v>666.05</v>
      </c>
      <c r="J46" s="143">
        <f>D46+G46</f>
        <v>59162.11</v>
      </c>
      <c r="K46" s="144">
        <f t="shared" ref="K46:K60" si="10">F46+I46</f>
        <v>11832.42</v>
      </c>
      <c r="L46" s="143">
        <f>E46+H46</f>
        <v>47329.69</v>
      </c>
      <c r="M46" s="123"/>
      <c r="N46" s="123"/>
      <c r="O46" s="123"/>
      <c r="P46" s="123"/>
      <c r="Q46" s="123"/>
      <c r="R46" s="160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1414920.28</v>
      </c>
      <c r="E47" s="140">
        <f t="shared" si="5"/>
        <v>1131936.22</v>
      </c>
      <c r="F47" s="141">
        <f t="shared" si="6"/>
        <v>282984.06</v>
      </c>
      <c r="G47" s="142">
        <f t="shared" si="7"/>
        <v>1353560.28</v>
      </c>
      <c r="H47" s="140">
        <f t="shared" si="8"/>
        <v>1082848.22</v>
      </c>
      <c r="I47" s="141">
        <f t="shared" si="9"/>
        <v>270712.06</v>
      </c>
      <c r="J47" s="143">
        <f t="shared" ref="J47:J58" si="11">D47+G47</f>
        <v>2768480.56</v>
      </c>
      <c r="K47" s="144">
        <f t="shared" si="10"/>
        <v>553696.12</v>
      </c>
      <c r="L47" s="143">
        <f t="shared" ref="L47:L57" si="12">E47+H47</f>
        <v>2214784.44</v>
      </c>
      <c r="M47" s="123"/>
      <c r="N47" s="123"/>
      <c r="O47" s="123"/>
      <c r="P47" s="123"/>
      <c r="Q47" s="123"/>
      <c r="R47" s="160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86441.84</v>
      </c>
      <c r="E48" s="140">
        <f t="shared" si="5"/>
        <v>69153.47</v>
      </c>
      <c r="F48" s="141">
        <f t="shared" si="6"/>
        <v>17288.37</v>
      </c>
      <c r="G48" s="142">
        <f t="shared" si="7"/>
        <v>5535.79</v>
      </c>
      <c r="H48" s="140">
        <f t="shared" si="8"/>
        <v>4428.63</v>
      </c>
      <c r="I48" s="141">
        <f t="shared" si="9"/>
        <v>1107.1600000000001</v>
      </c>
      <c r="J48" s="143">
        <f t="shared" si="11"/>
        <v>91977.62999999999</v>
      </c>
      <c r="K48" s="144">
        <f t="shared" si="10"/>
        <v>18395.53</v>
      </c>
      <c r="L48" s="143">
        <f t="shared" si="12"/>
        <v>73582.100000000006</v>
      </c>
      <c r="M48" s="123"/>
      <c r="N48" s="123"/>
      <c r="O48" s="123"/>
      <c r="P48" s="123"/>
      <c r="Q48" s="123"/>
      <c r="R48" s="160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71594.02</v>
      </c>
      <c r="E49" s="140">
        <f t="shared" si="5"/>
        <v>57275.22</v>
      </c>
      <c r="F49" s="141">
        <f t="shared" si="6"/>
        <v>14318.8</v>
      </c>
      <c r="G49" s="142">
        <f t="shared" si="7"/>
        <v>4324.32</v>
      </c>
      <c r="H49" s="140">
        <f t="shared" si="8"/>
        <v>3459.46</v>
      </c>
      <c r="I49" s="141">
        <f t="shared" si="9"/>
        <v>864.86</v>
      </c>
      <c r="J49" s="143">
        <f t="shared" si="11"/>
        <v>75918.34</v>
      </c>
      <c r="K49" s="144">
        <f t="shared" si="10"/>
        <v>15183.66</v>
      </c>
      <c r="L49" s="143">
        <f t="shared" si="12"/>
        <v>60734.68</v>
      </c>
      <c r="M49" s="123"/>
      <c r="N49" s="123"/>
      <c r="O49" s="123"/>
      <c r="P49" s="123"/>
      <c r="Q49" s="123"/>
      <c r="R49" s="160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80930.100000000006</v>
      </c>
      <c r="E50" s="140">
        <f t="shared" si="5"/>
        <v>64744.08</v>
      </c>
      <c r="F50" s="141">
        <f t="shared" si="6"/>
        <v>16186.02</v>
      </c>
      <c r="G50" s="142">
        <f t="shared" si="7"/>
        <v>3409.81</v>
      </c>
      <c r="H50" s="140">
        <f t="shared" si="8"/>
        <v>2727.85</v>
      </c>
      <c r="I50" s="141">
        <f t="shared" si="9"/>
        <v>681.96</v>
      </c>
      <c r="J50" s="143">
        <f t="shared" si="11"/>
        <v>84339.91</v>
      </c>
      <c r="K50" s="144">
        <f t="shared" si="10"/>
        <v>16867.98</v>
      </c>
      <c r="L50" s="143">
        <f t="shared" si="12"/>
        <v>67471.930000000008</v>
      </c>
      <c r="M50" s="123"/>
      <c r="N50" s="123"/>
      <c r="O50" s="123"/>
      <c r="P50" s="123"/>
      <c r="Q50" s="123"/>
      <c r="R50" s="160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59868.91</v>
      </c>
      <c r="E51" s="140">
        <f t="shared" si="5"/>
        <v>47895.13</v>
      </c>
      <c r="F51" s="141">
        <f t="shared" si="6"/>
        <v>11973.78</v>
      </c>
      <c r="G51" s="142">
        <f t="shared" si="7"/>
        <v>9730.92</v>
      </c>
      <c r="H51" s="140">
        <f t="shared" si="8"/>
        <v>7784.74</v>
      </c>
      <c r="I51" s="141">
        <f t="shared" si="9"/>
        <v>1946.18</v>
      </c>
      <c r="J51" s="143">
        <f t="shared" si="11"/>
        <v>69599.83</v>
      </c>
      <c r="K51" s="144">
        <f t="shared" si="10"/>
        <v>13919.960000000001</v>
      </c>
      <c r="L51" s="143">
        <f t="shared" si="12"/>
        <v>55679.869999999995</v>
      </c>
      <c r="M51" s="123"/>
      <c r="N51" s="123"/>
      <c r="O51" s="123"/>
      <c r="P51" s="123"/>
      <c r="Q51" s="123"/>
      <c r="R51" s="160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60424.83</v>
      </c>
      <c r="E52" s="140">
        <f t="shared" si="5"/>
        <v>48339.86</v>
      </c>
      <c r="F52" s="141">
        <f t="shared" si="6"/>
        <v>12084.97</v>
      </c>
      <c r="G52" s="142">
        <f t="shared" si="7"/>
        <v>2674.28</v>
      </c>
      <c r="H52" s="140">
        <f t="shared" si="8"/>
        <v>2139.42</v>
      </c>
      <c r="I52" s="141">
        <f t="shared" si="9"/>
        <v>534.86</v>
      </c>
      <c r="J52" s="143">
        <f t="shared" si="11"/>
        <v>63099.11</v>
      </c>
      <c r="K52" s="144">
        <f t="shared" si="10"/>
        <v>12619.83</v>
      </c>
      <c r="L52" s="143">
        <f t="shared" si="12"/>
        <v>50479.28</v>
      </c>
      <c r="M52" s="123"/>
      <c r="N52" s="123"/>
      <c r="O52" s="123"/>
      <c r="P52" s="123"/>
      <c r="Q52" s="123"/>
      <c r="R52" s="16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65776.03</v>
      </c>
      <c r="E53" s="140">
        <f>ROUND(D53*0.8,2)</f>
        <v>52620.82</v>
      </c>
      <c r="F53" s="141">
        <f t="shared" si="6"/>
        <v>13155.21</v>
      </c>
      <c r="G53" s="142">
        <f t="shared" si="7"/>
        <v>10615.66</v>
      </c>
      <c r="H53" s="140">
        <f t="shared" si="8"/>
        <v>8492.5300000000007</v>
      </c>
      <c r="I53" s="141">
        <f t="shared" si="9"/>
        <v>2123.13</v>
      </c>
      <c r="J53" s="143">
        <f t="shared" si="11"/>
        <v>76391.69</v>
      </c>
      <c r="K53" s="144">
        <f t="shared" si="10"/>
        <v>15278.34</v>
      </c>
      <c r="L53" s="143">
        <f t="shared" si="12"/>
        <v>61113.35</v>
      </c>
      <c r="M53" s="123"/>
      <c r="N53" s="123"/>
      <c r="O53" s="123"/>
      <c r="P53" s="123"/>
      <c r="Q53" s="123"/>
      <c r="R53" s="160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69224.69</v>
      </c>
      <c r="E54" s="140">
        <f t="shared" si="5"/>
        <v>55379.75</v>
      </c>
      <c r="F54" s="141">
        <f t="shared" si="6"/>
        <v>13844.94</v>
      </c>
      <c r="G54" s="142">
        <f t="shared" si="7"/>
        <v>731.55</v>
      </c>
      <c r="H54" s="140">
        <f t="shared" si="8"/>
        <v>585.24</v>
      </c>
      <c r="I54" s="141">
        <f t="shared" si="9"/>
        <v>146.31</v>
      </c>
      <c r="J54" s="143">
        <f t="shared" si="11"/>
        <v>69956.240000000005</v>
      </c>
      <c r="K54" s="144">
        <f t="shared" si="10"/>
        <v>13991.25</v>
      </c>
      <c r="L54" s="143">
        <f t="shared" si="12"/>
        <v>55964.99</v>
      </c>
      <c r="M54" s="123"/>
      <c r="N54" s="123"/>
      <c r="O54" s="123"/>
      <c r="P54" s="123"/>
      <c r="Q54" s="123"/>
      <c r="R54" s="160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58871.44</v>
      </c>
      <c r="E55" s="140">
        <f t="shared" si="5"/>
        <v>47097.15</v>
      </c>
      <c r="F55" s="141">
        <f t="shared" si="6"/>
        <v>11774.29</v>
      </c>
      <c r="G55" s="142">
        <f t="shared" si="7"/>
        <v>6310.41</v>
      </c>
      <c r="H55" s="140">
        <f t="shared" si="8"/>
        <v>5048.33</v>
      </c>
      <c r="I55" s="141">
        <f t="shared" si="9"/>
        <v>1262.08</v>
      </c>
      <c r="J55" s="143">
        <f t="shared" si="11"/>
        <v>65181.850000000006</v>
      </c>
      <c r="K55" s="144">
        <f t="shared" si="10"/>
        <v>13036.37</v>
      </c>
      <c r="L55" s="143">
        <f t="shared" si="12"/>
        <v>52145.48</v>
      </c>
      <c r="M55" s="123"/>
      <c r="N55" s="123"/>
      <c r="O55" s="123"/>
      <c r="P55" s="123"/>
      <c r="Q55" s="123"/>
      <c r="R55" s="160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79166.52</v>
      </c>
      <c r="E56" s="140">
        <f t="shared" si="5"/>
        <v>63333.22</v>
      </c>
      <c r="F56" s="141">
        <f t="shared" si="6"/>
        <v>15833.3</v>
      </c>
      <c r="G56" s="142">
        <f t="shared" si="7"/>
        <v>13532.29</v>
      </c>
      <c r="H56" s="140">
        <f t="shared" si="8"/>
        <v>10825.83</v>
      </c>
      <c r="I56" s="141">
        <f t="shared" si="9"/>
        <v>2706.46</v>
      </c>
      <c r="J56" s="143">
        <f t="shared" si="11"/>
        <v>92698.81</v>
      </c>
      <c r="K56" s="144">
        <f t="shared" si="10"/>
        <v>18539.759999999998</v>
      </c>
      <c r="L56" s="143">
        <f t="shared" si="12"/>
        <v>74159.05</v>
      </c>
      <c r="M56" s="123"/>
      <c r="N56" s="123"/>
      <c r="O56" s="123"/>
      <c r="P56" s="123"/>
      <c r="Q56" s="123"/>
      <c r="R56" s="160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66228.44</v>
      </c>
      <c r="E57" s="154">
        <f t="shared" si="5"/>
        <v>52982.75</v>
      </c>
      <c r="F57" s="155">
        <f t="shared" si="6"/>
        <v>13245.69</v>
      </c>
      <c r="G57" s="153">
        <f t="shared" si="7"/>
        <v>3506.07</v>
      </c>
      <c r="H57" s="154">
        <f t="shared" si="8"/>
        <v>2804.86</v>
      </c>
      <c r="I57" s="155">
        <f t="shared" si="9"/>
        <v>701.21</v>
      </c>
      <c r="J57" s="156">
        <f t="shared" si="11"/>
        <v>69734.510000000009</v>
      </c>
      <c r="K57" s="157">
        <f t="shared" si="10"/>
        <v>13946.900000000001</v>
      </c>
      <c r="L57" s="156">
        <f t="shared" si="12"/>
        <v>55787.61</v>
      </c>
      <c r="M57" s="146"/>
      <c r="N57" s="146"/>
      <c r="O57" s="146"/>
      <c r="P57" s="146"/>
      <c r="Q57" s="146"/>
      <c r="R57" s="160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62525.62</v>
      </c>
      <c r="E58" s="140">
        <f t="shared" si="5"/>
        <v>50020.5</v>
      </c>
      <c r="F58" s="141">
        <f t="shared" si="6"/>
        <v>12505.12</v>
      </c>
      <c r="G58" s="142">
        <f t="shared" si="7"/>
        <v>8862.0300000000007</v>
      </c>
      <c r="H58" s="140">
        <f t="shared" si="8"/>
        <v>7089.62</v>
      </c>
      <c r="I58" s="141">
        <f t="shared" si="9"/>
        <v>1772.41</v>
      </c>
      <c r="J58" s="143">
        <f t="shared" si="11"/>
        <v>71387.650000000009</v>
      </c>
      <c r="K58" s="144">
        <f t="shared" si="10"/>
        <v>14277.53</v>
      </c>
      <c r="L58" s="143">
        <f t="shared" ref="L58" si="13">J58-K58</f>
        <v>57110.12000000001</v>
      </c>
      <c r="M58" s="123"/>
      <c r="N58" s="123"/>
      <c r="O58" s="123"/>
      <c r="P58" s="123"/>
      <c r="Q58" s="123"/>
      <c r="R58" s="160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69675.48</v>
      </c>
      <c r="E59" s="133">
        <f t="shared" si="5"/>
        <v>55740.38</v>
      </c>
      <c r="F59" s="148">
        <f t="shared" si="6"/>
        <v>13935.1</v>
      </c>
      <c r="G59" s="139">
        <f t="shared" si="7"/>
        <v>40.840000000000003</v>
      </c>
      <c r="H59" s="149">
        <f t="shared" si="8"/>
        <v>32.67</v>
      </c>
      <c r="I59" s="148">
        <f t="shared" si="9"/>
        <v>8.17</v>
      </c>
      <c r="J59" s="150">
        <f>D59+G59</f>
        <v>69716.319999999992</v>
      </c>
      <c r="K59" s="151">
        <f t="shared" si="10"/>
        <v>13943.27</v>
      </c>
      <c r="L59" s="150">
        <f>E59+H59</f>
        <v>55773.049999999996</v>
      </c>
      <c r="M59" s="123"/>
      <c r="N59" s="123"/>
      <c r="O59" s="123"/>
      <c r="P59" s="123"/>
      <c r="Q59" s="123"/>
      <c r="R59" s="160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2404683.7000000002</v>
      </c>
      <c r="E60" s="89">
        <f t="shared" si="14"/>
        <v>1923746.9499999997</v>
      </c>
      <c r="F60" s="73">
        <f t="shared" si="14"/>
        <v>480936.74999999994</v>
      </c>
      <c r="G60" s="90">
        <f t="shared" si="14"/>
        <v>1433112.4100000001</v>
      </c>
      <c r="H60" s="89">
        <f t="shared" si="14"/>
        <v>1146489.9300000002</v>
      </c>
      <c r="I60" s="73">
        <f t="shared" si="14"/>
        <v>286622.48</v>
      </c>
      <c r="J60" s="91">
        <f>SUM(J45:J59)</f>
        <v>3837796.1100000003</v>
      </c>
      <c r="K60" s="91">
        <f t="shared" si="10"/>
        <v>767559.23</v>
      </c>
      <c r="L60" s="91">
        <f>E60+H60</f>
        <v>3070236.88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65" t="s">
        <v>91</v>
      </c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</row>
    <row r="63" spans="1:1019" ht="12" customHeight="1" thickBot="1" x14ac:dyDescent="0.3">
      <c r="A63" s="48"/>
      <c r="B63" s="166" t="s">
        <v>68</v>
      </c>
      <c r="C63" s="167" t="s">
        <v>74</v>
      </c>
      <c r="D63" s="168" t="s">
        <v>69</v>
      </c>
      <c r="E63" s="169"/>
      <c r="F63" s="170"/>
      <c r="G63" s="171" t="s">
        <v>70</v>
      </c>
      <c r="H63" s="171"/>
      <c r="I63" s="171"/>
      <c r="J63" s="172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66"/>
      <c r="C64" s="167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73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6428.08</v>
      </c>
      <c r="E65" s="85">
        <f>ROUND($L$14*C65,2)</f>
        <v>19284.240000000002</v>
      </c>
      <c r="F65" s="103">
        <f t="shared" ref="F65:F80" si="15">D65+E65</f>
        <v>25712.32</v>
      </c>
      <c r="G65" s="102">
        <f>ROUND(C65*$I$60,2)</f>
        <v>3830.92</v>
      </c>
      <c r="H65" s="104">
        <f t="shared" ref="H65:H80" si="16">ROUND(C65*$L$15,2)</f>
        <v>3830.92</v>
      </c>
      <c r="I65" s="103">
        <f t="shared" ref="I65:I80" si="17">G65+H65</f>
        <v>7661.84</v>
      </c>
      <c r="J65" s="105">
        <f t="shared" ref="J65:J80" si="18">ROUND($L$16*C65,2)</f>
        <v>264.27999999999997</v>
      </c>
      <c r="K65" s="106">
        <f>F65+I65+J65</f>
        <v>33638.44</v>
      </c>
      <c r="L65" s="107">
        <f>((K65/K45)-1)*100</f>
        <v>52.691632573486281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3993.26</v>
      </c>
      <c r="E66" s="86">
        <f>ROUND($L$14*C66,2)</f>
        <v>11979.78</v>
      </c>
      <c r="F66" s="110">
        <f t="shared" si="15"/>
        <v>15973.04</v>
      </c>
      <c r="G66" s="109">
        <f>ROUND(C66*$I$60,2)</f>
        <v>2379.85</v>
      </c>
      <c r="H66" s="86">
        <f t="shared" si="16"/>
        <v>2379.85</v>
      </c>
      <c r="I66" s="110">
        <f t="shared" si="17"/>
        <v>4759.7</v>
      </c>
      <c r="J66" s="111">
        <f t="shared" si="18"/>
        <v>164.17</v>
      </c>
      <c r="K66" s="106">
        <f t="shared" ref="K66:K80" si="19">F66+I66+J66</f>
        <v>20896.91</v>
      </c>
      <c r="L66" s="107">
        <f t="shared" ref="L66:L79" si="20">((K66/K46)-1)*100</f>
        <v>76.607236727567127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137726.87</v>
      </c>
      <c r="E67" s="86">
        <f t="shared" ref="E67:E80" si="22">ROUND($L$14*C67,2)</f>
        <v>413180.6</v>
      </c>
      <c r="F67" s="110">
        <f t="shared" si="15"/>
        <v>550907.47</v>
      </c>
      <c r="G67" s="109">
        <f t="shared" ref="G67:G79" si="23">ROUND(C67*$I$60,2)</f>
        <v>82080.679999999993</v>
      </c>
      <c r="H67" s="86">
        <f t="shared" si="16"/>
        <v>82080.679999999993</v>
      </c>
      <c r="I67" s="110">
        <f t="shared" si="17"/>
        <v>164161.35999999999</v>
      </c>
      <c r="J67" s="111">
        <f t="shared" si="18"/>
        <v>5662.34</v>
      </c>
      <c r="K67" s="106">
        <f t="shared" si="19"/>
        <v>720731.16999999993</v>
      </c>
      <c r="L67" s="107">
        <f t="shared" si="20"/>
        <v>30.167278398122054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10368.530000000001</v>
      </c>
      <c r="E68" s="86">
        <f t="shared" si="22"/>
        <v>31105.58</v>
      </c>
      <c r="F68" s="110">
        <f t="shared" si="15"/>
        <v>41474.11</v>
      </c>
      <c r="G68" s="109">
        <f t="shared" si="23"/>
        <v>6179.3</v>
      </c>
      <c r="H68" s="86">
        <f t="shared" si="16"/>
        <v>6179.3</v>
      </c>
      <c r="I68" s="110">
        <f t="shared" si="17"/>
        <v>12358.6</v>
      </c>
      <c r="J68" s="111">
        <f t="shared" si="18"/>
        <v>426.28</v>
      </c>
      <c r="K68" s="106">
        <f t="shared" si="19"/>
        <v>54258.99</v>
      </c>
      <c r="L68" s="107">
        <f t="shared" si="20"/>
        <v>194.95747064640159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7893.91</v>
      </c>
      <c r="E69" s="86">
        <f t="shared" si="22"/>
        <v>23681.74</v>
      </c>
      <c r="F69" s="110">
        <f t="shared" si="15"/>
        <v>31575.65</v>
      </c>
      <c r="G69" s="109">
        <f t="shared" si="23"/>
        <v>4704.51</v>
      </c>
      <c r="H69" s="86">
        <f t="shared" si="16"/>
        <v>4704.51</v>
      </c>
      <c r="I69" s="110">
        <f t="shared" si="17"/>
        <v>9409.02</v>
      </c>
      <c r="J69" s="111">
        <f t="shared" si="18"/>
        <v>324.54000000000002</v>
      </c>
      <c r="K69" s="106">
        <f t="shared" si="19"/>
        <v>41309.21</v>
      </c>
      <c r="L69" s="107">
        <f t="shared" si="20"/>
        <v>172.06358677683772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8162.63</v>
      </c>
      <c r="E70" s="86">
        <f t="shared" si="22"/>
        <v>24487.9</v>
      </c>
      <c r="F70" s="110">
        <f t="shared" si="15"/>
        <v>32650.530000000002</v>
      </c>
      <c r="G70" s="109">
        <f t="shared" si="23"/>
        <v>4864.66</v>
      </c>
      <c r="H70" s="86">
        <f t="shared" si="16"/>
        <v>4864.66</v>
      </c>
      <c r="I70" s="110">
        <f t="shared" si="17"/>
        <v>9729.32</v>
      </c>
      <c r="J70" s="111">
        <f t="shared" si="18"/>
        <v>335.59</v>
      </c>
      <c r="K70" s="106">
        <f t="shared" si="19"/>
        <v>42715.44</v>
      </c>
      <c r="L70" s="107">
        <f t="shared" si="20"/>
        <v>153.23387862684211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4622.13</v>
      </c>
      <c r="E71" s="86">
        <f t="shared" si="22"/>
        <v>13866.38</v>
      </c>
      <c r="F71" s="110">
        <f t="shared" si="15"/>
        <v>18488.509999999998</v>
      </c>
      <c r="G71" s="109">
        <f t="shared" si="23"/>
        <v>2754.64</v>
      </c>
      <c r="H71" s="86">
        <f t="shared" si="16"/>
        <v>2754.64</v>
      </c>
      <c r="I71" s="110">
        <f t="shared" si="17"/>
        <v>5509.28</v>
      </c>
      <c r="J71" s="111">
        <f t="shared" si="18"/>
        <v>190.03</v>
      </c>
      <c r="K71" s="106">
        <f t="shared" si="19"/>
        <v>24187.819999999996</v>
      </c>
      <c r="L71" s="107">
        <f t="shared" si="20"/>
        <v>73.763574033258678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2968.21</v>
      </c>
      <c r="E72" s="86">
        <f t="shared" si="22"/>
        <v>8904.6200000000008</v>
      </c>
      <c r="F72" s="110">
        <f t="shared" si="15"/>
        <v>11872.830000000002</v>
      </c>
      <c r="G72" s="109">
        <f t="shared" si="23"/>
        <v>1768.95</v>
      </c>
      <c r="H72" s="86">
        <f t="shared" si="16"/>
        <v>1768.95</v>
      </c>
      <c r="I72" s="110">
        <f t="shared" si="17"/>
        <v>3537.9</v>
      </c>
      <c r="J72" s="111">
        <f t="shared" si="18"/>
        <v>122.03</v>
      </c>
      <c r="K72" s="106">
        <f>F72+I72+J72</f>
        <v>15532.760000000002</v>
      </c>
      <c r="L72" s="107">
        <f t="shared" si="20"/>
        <v>23.082165132176911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7963.53</v>
      </c>
      <c r="E73" s="86">
        <f t="shared" si="22"/>
        <v>23890.6</v>
      </c>
      <c r="F73" s="110">
        <f t="shared" si="15"/>
        <v>31854.129999999997</v>
      </c>
      <c r="G73" s="109">
        <f t="shared" si="23"/>
        <v>4746</v>
      </c>
      <c r="H73" s="86">
        <f t="shared" si="16"/>
        <v>4746</v>
      </c>
      <c r="I73" s="110">
        <f t="shared" si="17"/>
        <v>9492</v>
      </c>
      <c r="J73" s="111">
        <f t="shared" si="18"/>
        <v>327.39999999999998</v>
      </c>
      <c r="K73" s="106">
        <f t="shared" si="19"/>
        <v>41673.53</v>
      </c>
      <c r="L73" s="107">
        <f t="shared" si="20"/>
        <v>172.76215871619561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12103.75</v>
      </c>
      <c r="E74" s="86">
        <f t="shared" si="22"/>
        <v>36311.24</v>
      </c>
      <c r="F74" s="110">
        <f t="shared" si="15"/>
        <v>48414.99</v>
      </c>
      <c r="G74" s="109">
        <f t="shared" si="23"/>
        <v>7213.44</v>
      </c>
      <c r="H74" s="86">
        <f t="shared" si="16"/>
        <v>7213.44</v>
      </c>
      <c r="I74" s="110">
        <f t="shared" si="17"/>
        <v>14426.88</v>
      </c>
      <c r="J74" s="111">
        <f t="shared" si="18"/>
        <v>497.62</v>
      </c>
      <c r="K74" s="106">
        <f t="shared" si="19"/>
        <v>63339.49</v>
      </c>
      <c r="L74" s="107">
        <f t="shared" si="20"/>
        <v>352.7078709907978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13173.54</v>
      </c>
      <c r="E75" s="86">
        <f t="shared" si="22"/>
        <v>39520.629999999997</v>
      </c>
      <c r="F75" s="110">
        <f t="shared" si="15"/>
        <v>52694.17</v>
      </c>
      <c r="G75" s="109">
        <f t="shared" si="23"/>
        <v>7851</v>
      </c>
      <c r="H75" s="86">
        <f t="shared" si="16"/>
        <v>7851</v>
      </c>
      <c r="I75" s="110">
        <f t="shared" si="17"/>
        <v>15702</v>
      </c>
      <c r="J75" s="111">
        <f t="shared" si="18"/>
        <v>541.6</v>
      </c>
      <c r="K75" s="106">
        <f t="shared" si="19"/>
        <v>68937.77</v>
      </c>
      <c r="L75" s="107">
        <f t="shared" si="20"/>
        <v>428.81108774912036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14967.85</v>
      </c>
      <c r="E76" s="86">
        <f t="shared" si="22"/>
        <v>44903.54</v>
      </c>
      <c r="F76" s="110">
        <f t="shared" si="15"/>
        <v>59871.39</v>
      </c>
      <c r="G76" s="109">
        <f t="shared" si="23"/>
        <v>8920.34</v>
      </c>
      <c r="H76" s="86">
        <f t="shared" si="16"/>
        <v>8920.34</v>
      </c>
      <c r="I76" s="110">
        <f t="shared" si="17"/>
        <v>17840.68</v>
      </c>
      <c r="J76" s="111">
        <f t="shared" si="18"/>
        <v>615.37</v>
      </c>
      <c r="K76" s="106">
        <f t="shared" si="19"/>
        <v>78327.44</v>
      </c>
      <c r="L76" s="107">
        <f t="shared" si="20"/>
        <v>322.48357044535646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3878.66</v>
      </c>
      <c r="E77" s="86">
        <f t="shared" si="22"/>
        <v>11635.98</v>
      </c>
      <c r="F77" s="110">
        <f t="shared" si="15"/>
        <v>15514.64</v>
      </c>
      <c r="G77" s="109">
        <f t="shared" si="23"/>
        <v>2311.5500000000002</v>
      </c>
      <c r="H77" s="86">
        <f t="shared" si="16"/>
        <v>2311.5500000000002</v>
      </c>
      <c r="I77" s="110">
        <f t="shared" si="17"/>
        <v>4623.1000000000004</v>
      </c>
      <c r="J77" s="111">
        <f t="shared" si="18"/>
        <v>159.46</v>
      </c>
      <c r="K77" s="106">
        <f t="shared" si="19"/>
        <v>20297.199999999997</v>
      </c>
      <c r="L77" s="107">
        <f t="shared" si="20"/>
        <v>45.531982017509229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3569.31</v>
      </c>
      <c r="E78" s="86">
        <f t="shared" si="22"/>
        <v>10707.92</v>
      </c>
      <c r="F78" s="110">
        <f t="shared" si="15"/>
        <v>14277.23</v>
      </c>
      <c r="G78" s="109">
        <f t="shared" si="23"/>
        <v>2127.19</v>
      </c>
      <c r="H78" s="86">
        <f t="shared" si="16"/>
        <v>2127.19</v>
      </c>
      <c r="I78" s="110">
        <f t="shared" si="17"/>
        <v>4254.38</v>
      </c>
      <c r="J78" s="111">
        <f t="shared" si="18"/>
        <v>146.74</v>
      </c>
      <c r="K78" s="106">
        <f t="shared" si="19"/>
        <v>18678.350000000002</v>
      </c>
      <c r="L78" s="107">
        <f t="shared" si="20"/>
        <v>30.823398725129646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7274.79</v>
      </c>
      <c r="E79" s="86">
        <f t="shared" si="22"/>
        <v>21824.37</v>
      </c>
      <c r="F79" s="110">
        <f t="shared" si="15"/>
        <v>29099.16</v>
      </c>
      <c r="G79" s="109">
        <f t="shared" si="23"/>
        <v>4335.54</v>
      </c>
      <c r="H79" s="86">
        <f t="shared" si="16"/>
        <v>4335.53</v>
      </c>
      <c r="I79" s="110">
        <f t="shared" si="17"/>
        <v>8671.07</v>
      </c>
      <c r="J79" s="111">
        <f t="shared" si="18"/>
        <v>299.08999999999997</v>
      </c>
      <c r="K79" s="106">
        <f t="shared" si="19"/>
        <v>38069.319999999992</v>
      </c>
      <c r="L79" s="107">
        <f t="shared" si="20"/>
        <v>173.03007113826231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235841.71</v>
      </c>
      <c r="E80" s="87">
        <f t="shared" si="22"/>
        <v>707525.1</v>
      </c>
      <c r="F80" s="103">
        <f t="shared" si="15"/>
        <v>943366.80999999994</v>
      </c>
      <c r="G80" s="112">
        <f>ROUND(C80*$I$60,2)</f>
        <v>140553.9</v>
      </c>
      <c r="H80" s="87">
        <f t="shared" si="16"/>
        <v>140553.89000000001</v>
      </c>
      <c r="I80" s="103">
        <f t="shared" si="17"/>
        <v>281107.79000000004</v>
      </c>
      <c r="J80" s="113">
        <f t="shared" si="18"/>
        <v>9696.11</v>
      </c>
      <c r="K80" s="106">
        <f t="shared" si="19"/>
        <v>1234170.7100000002</v>
      </c>
      <c r="L80" s="107">
        <f>((K80/L13)-1)*100</f>
        <v>-29.443920921005628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480936.76</v>
      </c>
      <c r="E81" s="89">
        <f>SUM(E65:E80)</f>
        <v>1442810.22</v>
      </c>
      <c r="F81" s="116">
        <f t="shared" ref="F81:K81" si="24">SUM(F65:F80)</f>
        <v>1923746.98</v>
      </c>
      <c r="G81" s="115">
        <f t="shared" si="24"/>
        <v>286622.46999999997</v>
      </c>
      <c r="H81" s="89">
        <f t="shared" si="24"/>
        <v>286622.45</v>
      </c>
      <c r="I81" s="116">
        <f t="shared" si="24"/>
        <v>573244.92000000004</v>
      </c>
      <c r="J81" s="73">
        <f t="shared" si="24"/>
        <v>19772.650000000001</v>
      </c>
      <c r="K81" s="90">
        <f t="shared" si="24"/>
        <v>2516764.5500000003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23"/>
      <c r="Q82" s="123"/>
      <c r="R82" s="160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J1:L3"/>
    <mergeCell ref="A5:L5"/>
    <mergeCell ref="J6:K6"/>
    <mergeCell ref="A9:B9"/>
    <mergeCell ref="B37:F37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A62:L62"/>
    <mergeCell ref="B63:B64"/>
    <mergeCell ref="C63:C64"/>
    <mergeCell ref="D63:F63"/>
    <mergeCell ref="G63:I63"/>
    <mergeCell ref="J63:J64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5º PER. JULHO 2026</vt:lpstr>
      <vt:lpstr>'BTA 5º PER. JULHO 2026'!Área_de_Impressão</vt:lpstr>
      <vt:lpstr>'BTA 5º PER. JULHO 2026'!Print_Titles_0</vt:lpstr>
      <vt:lpstr>'BTA 5º PER. JULHO 2026'!Print_Titles_0_0</vt:lpstr>
      <vt:lpstr>'BTA 5º PER. JULHO 2026'!Print_Titles_0_0_0</vt:lpstr>
      <vt:lpstr>'BTA 5º PER. JULHO 2026'!Print_Titles_0_0_0_0</vt:lpstr>
      <vt:lpstr>'BTA 5º PER. JULHO 2026'!Print_Titles_0_0_0_0_0</vt:lpstr>
      <vt:lpstr>'BTA 5º PER. JULHO 2026'!Print_Titles_0_0_0_0_0_0</vt:lpstr>
      <vt:lpstr>'BTA 5º PER. JULHO 2026'!Print_Titles_0_0_0_0_0_0_0</vt:lpstr>
      <vt:lpstr>'BTA 5º PER. JULHO 2026'!Print_Titles_0_0_0_0_0_0_0_0</vt:lpstr>
      <vt:lpstr>'BTA 5º PER. JULHO 2026'!Print_Titles_0_0_0_0_0_0_0_0_0</vt:lpstr>
      <vt:lpstr>'BTA 5º PER. JULHO 2026'!Print_Titles_0_0_0_0_0_0_0_0_0_0</vt:lpstr>
      <vt:lpstr>'BTA 5º PER. JULHO 2026'!Print_Titles_0_0_0_0_0_0_0_0_0_0_0</vt:lpstr>
      <vt:lpstr>'BTA 5º PER. JULHO 2026'!Print_Titles_0_0_0_0_0_0_0_0_0_0_0_0</vt:lpstr>
      <vt:lpstr>'BTA 5º PER. JULHO 2026'!Print_Titles_0_0_0_0_0_0_0_0_0_0_0_0_0</vt:lpstr>
      <vt:lpstr>'BTA 5º PER. JULHO 2026'!Print_Titles_0_0_0_0_0_0_0_0_0_0_0_0_0_0</vt:lpstr>
      <vt:lpstr>'BTA 5º PER. JULHO 2026'!Print_Titles_0_0_0_0_0_0_0_0_0_0_0_0_0_0_0</vt:lpstr>
      <vt:lpstr>'BTA 5º PER. JULHO 2026'!Print_Titles_0_0_0_0_0_0_0_0_0_0_0_0_0_0_0_0</vt:lpstr>
      <vt:lpstr>'BTA 5º PER. JULHO 2026'!Print_Titles_0_0_0_0_0_0_0_0_0_0_0_0_0_0_0_0_0</vt:lpstr>
      <vt:lpstr>'BTA 5º PER. JULHO 2026'!Print_Titles_0_0_0_0_0_0_0_0_0_0_0_0_0_0_0_0_0_0</vt:lpstr>
      <vt:lpstr>'BTA 5º PER. JULHO 2026'!Print_Titles_0_0_0_0_0_0_0_0_0_0_0_0_0_0_0_0_0_0_0</vt:lpstr>
      <vt:lpstr>'BTA 5º PER. JULHO 2026'!Print_Titles_0_0_0_0_0_0_0_0_0_0_0_0_0_0_0_0_0_0_0_0</vt:lpstr>
      <vt:lpstr>'BTA 5º PER. JULHO 2026'!Print_Titles_0_0_0_0_0_0_0_0_0_0_0_0_0_0_0_0_0_0_0_0_0</vt:lpstr>
      <vt:lpstr>'BTA 5º PER. JULHO 2026'!Print_Titles_0_0_0_0_0_0_0_0_0_0_0_0_0_0_0_0_0_0_0_0_0_0</vt:lpstr>
      <vt:lpstr>'BTA 5º PER. JULHO 2026'!Print_Titles_0_0_0_0_0_0_0_0_0_0_0_0_0_0_0_0_0_0_0_0_0_0_0</vt:lpstr>
      <vt:lpstr>'BTA 5º PER. JULHO 2026'!Print_Titles_0_0_0_0_0_0_0_0_0_0_0_0_0_0_0_0_0_0_0_0_0_0_0_0</vt:lpstr>
      <vt:lpstr>'BTA 5º PER. JULHO 2026'!Print_Titles_0_0_0_0_0_0_0_0_0_0_0_0_0_0_0_0_0_0_0_0_0_0_0_0_0</vt:lpstr>
      <vt:lpstr>'BTA 5º PER. JULHO 2026'!Print_Titles_0_0_0_0_0_0_0_0_0_0_0_0_0_0_0_0_0_0_0_0_0_0_0_0_0_0</vt:lpstr>
      <vt:lpstr>'BTA 5º PER. JULHO 2026'!Print_Titles_0_0_0_0_0_0_0_0_0_0_0_0_0_0_0_0_0_0_0_0_0_0_0_0_0_0_0</vt:lpstr>
      <vt:lpstr>'BTA 5º PER. JULHO 2026'!Print_Titles_0_0_0_0_0_0_0_0_0_0_0_0_0_0_0_0_0_0_0_0_0_0_0_0_0_0_0_0</vt:lpstr>
      <vt:lpstr>'BTA 5º PER. JULHO 2026'!Print_Titles_0_0_0_0_0_0_0_0_0_0_0_0_0_0_0_0_0_0_0_0_0_0_0_0_0_0_0_0_0</vt:lpstr>
      <vt:lpstr>'BTA 5º PER. JULHO 2026'!Print_Titles_0_0_0_0_0_0_0_0_0_0_0_0_0_0_0_0_0_0_0_0_0_0_0_0_0_0_0_0_0_0</vt:lpstr>
      <vt:lpstr>'BTA 5º PER. JULHO 2026'!Print_Titles_0_0_0_0_0_0_0_0_0_0_0_0_0_0_0_0_0_0_0_0_0_0_0_0_0_0_0_0_0_0_0</vt:lpstr>
      <vt:lpstr>'BTA 5º PER. JULHO 2026'!Print_Titles_0_0_0_0_0_0_0_0_0_0_0_0_0_0_0_0_0_0_0_0_0_0_0_0_0_0_0_0_0_0_0_0</vt:lpstr>
      <vt:lpstr>'BTA 5º PER. JULHO 2026'!Print_Titles_0_0_0_0_0_0_0_0_0_0_0_0_0_0_0_0_0_0_0_0_0_0_0_0_0_0_0_0_0_0_0_0_0</vt:lpstr>
      <vt:lpstr>'BTA 5º PER. JULHO 2026'!Print_Titles_0_0_0_0_0_0_0_0_0_0_0_0_0_0_0_0_0_0_0_0_0_0_0_0_0_0_0_0_0_0_0_0_0_0</vt:lpstr>
      <vt:lpstr>'BTA 5º PER. JULHO 2026'!Print_Titles_0_0_0_0_0_0_0_0_0_0_0_0_0_0_0_0_0_0_0_0_0_0_0_0_0_0_0_0_0_0_0_0_0_0_0</vt:lpstr>
      <vt:lpstr>'BTA 5º PER. JULHO 2026'!Print_Titles_0_0_0_0_0_0_0_0_0_0_0_0_0_0_0_0_0_0_0_0_0_0_0_0_0_0_0_0_0_0_0_0_0_0_0_0</vt:lpstr>
      <vt:lpstr>'BTA 5º PER. JULHO 2026'!Print_Titles_0_0_0_0_0_0_0_0_0_0_0_0_0_0_0_0_0_0_0_0_0_0_0_0_0_0_0_0_0_0_0_0_0_0_0_0_0</vt:lpstr>
      <vt:lpstr>'BTA 5º PER. JULHO 2026'!Print_Titles_0_0_0_0_0_0_0_0_0_0_0_0_0_0_0_0_0_0_0_0_0_0_0_0_0_0_0_0_0_0_0_0_0_0_0_0_0_0</vt:lpstr>
      <vt:lpstr>'BTA 5º PER. JULHO 2026'!Print_Titles_0_0_0_0_0_0_0_0_0_0_0_0_0_0_0_0_0_0_0_0_0_0_0_0_0_0_0_0_0_0_0_0_0_0_0_0_0_0_0</vt:lpstr>
      <vt:lpstr>'BTA 5º PER. JULHO 2026'!Print_Titles_0_0_0_0_0_0_0_0_0_0_0_0_0_0_0_0_0_0_0_0_0_0_0_0_0_0_0_0_0_0_0_0_0_0_0_0_0_0_0_0</vt:lpstr>
      <vt:lpstr>'BTA 5º PER. JULHO 2026'!Print_Titles_0_0_0_0_0_0_0_0_0_0_0_0_0_0_0_0_0_0_0_0_0_0_0_0_0_0_0_0_0_0_0_0_0_0_0_0_0_0_0_0_0</vt:lpstr>
      <vt:lpstr>'BTA 5º PER. JULHO 2026'!Print_Titles_0_0_0_0_0_0_0_0_0_0_0_0_0_0_0_0_0_0_0_0_0_0_0_0_0_0_0_0_0_0_0_0_0_0_0_0_0_0_0_0_0_0</vt:lpstr>
      <vt:lpstr>'BTA 5º PER. JULHO 2026'!Print_Titles_0_0_0_0_0_0_0_0_0_0_0_0_0_0_0_0_0_0_0_0_0_0_0_0_0_0_0_0_0_0_0_0_0_0_0_0_0_0_0_0_0_0_0</vt:lpstr>
      <vt:lpstr>'BTA 5º PER. JULHO 2026'!Print_Titles_0_0_0_0_0_0_0_0_0_0_0_0_0_0_0_0_0_0_0_0_0_0_0_0_0_0_0_0_0_0_0_0_0_0_0_0_0_0_0_0_0_0_0_0</vt:lpstr>
      <vt:lpstr>'BTA 5º PER. JULHO 2026'!Print_Titles_0_0_0_0_0_0_0_0_0_0_0_0_0_0_0_0_0_0_0_0_0_0_0_0_0_0_0_0_0_0_0_0_0_0_0_0_0_0_0_0_0_0_0_0_0</vt:lpstr>
      <vt:lpstr>'BTA 5º PER. JULHO 2026'!Print_Titles_0_0_0_0_0_0_0_0_0_0_0_0_0_0_0_0_0_0_0_0_0_0_0_0_0_0_0_0_0_0_0_0_0_0_0_0_0_0_0_0_0_0_0_0_0_0</vt:lpstr>
      <vt:lpstr>'BTA 5º PER. JULHO 2026'!Print_Titles_0_0_0_0_0_0_0_0_0_0_0_0_0_0_0_0_0_0_0_0_0_0_0_0_0_0_0_0_0_0_0_0_0_0_0_0_0_0_0_0_0_0_0_0_0_0_0</vt:lpstr>
      <vt:lpstr>'BTA 5º PER. JULHO 2026'!Print_Titles_0_0_0_0_0_0_0_0_0_0_0_0_0_0_0_0_0_0_0_0_0_0_0_0_0_0_0_0_0_0_0_0_0_0_0_0_0_0_0_0_0_0_0_0_0_0_0_0</vt:lpstr>
      <vt:lpstr>'BTA 5º PER. JULHO 2026'!Print_Titles_0_0_0_0_0_0_0_0_0_0_0_0_0_0_0_0_0_0_0_0_0_0_0_0_0_0_0_0_0_0_0_0_0_0_0_0_0_0_0_0_0_0_0_0_0_0_0_0_0</vt:lpstr>
      <vt:lpstr>'BTA 5º PER. JULHO 2026'!Print_Titles_0_0_0_0_0_0_0_0_0_0_0_0_0_0_0_0_0_0_0_0_0_0_0_0_0_0_0_0_0_0_0_0_0_0_0_0_0_0_0_0_0_0_0_0_0_0_0_0_0_0</vt:lpstr>
      <vt:lpstr>'BTA 5º PER. JULHO 2026'!Print_Titles_0_0_0_0_0_0_0_0_0_0_0_0_0_0_0_0_0_0_0_0_0_0_0_0_0_0_0_0_0_0_0_0_0_0_0_0_0_0_0_0_0_0_0_0_0_0_0_0_0_0_0</vt:lpstr>
      <vt:lpstr>'BTA 5º PER. JULHO 2026'!Print_Titles_0_0_0_0_0_0_0_0_0_0_0_0_0_0_0_0_0_0_0_0_0_0_0_0_0_0_0_0_0_0_0_0_0_0_0_0_0_0_0_0_0_0_0_0_0_0_0_0_0_0_0_0</vt:lpstr>
      <vt:lpstr>'BTA 5º PER. JULHO 2026'!Print_Titles_0_0_0_0_0_0_0_0_0_0_0_0_0_0_0_0_0_0_0_0_0_0_0_0_0_0_0_0_0_0_0_0_0_0_0_0_0_0_0_0_0_0_0_0_0_0_0_0_0_0_0_0_0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2026'!Print_Titles_0_0_0_0_0_0_0_0_0_0_0_0_0_0_0_0_0_0_0_0_0_0_0_0_0_0_0_0_0_0_0_0_0_0_0_0_0_0_0_0_0_0_0_0_0_0_0_0_0_0_0_0_0_0_0_0_0_0_0_0_0_0_0_0_0_0_0_0_0_0_0_0_0_0_0_0_0_0_0_0_0_0_0</vt:lpstr>
      <vt:lpstr>'BTA 5º PER. JULHO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Nara Ney De Souza Felix</cp:lastModifiedBy>
  <cp:lastPrinted>2026-08-03T16:44:22Z</cp:lastPrinted>
  <dcterms:created xsi:type="dcterms:W3CDTF">2023-11-29T12:56:37Z</dcterms:created>
  <dcterms:modified xsi:type="dcterms:W3CDTF">2026-08-03T16:44:26Z</dcterms:modified>
</cp:coreProperties>
</file>